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16" windowWidth="9420" windowHeight="4248" activeTab="0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definedNames>
    <definedName name="_xlnm.Print_Area" localSheetId="0">'BS'!$A$2:$J$62</definedName>
    <definedName name="_xlnm.Print_Area" localSheetId="2">'Cashflow'!$A$2:$H$52</definedName>
    <definedName name="_xlnm.Print_Area" localSheetId="1">'PL'!$C$3:$M$55</definedName>
    <definedName name="_xlnm.Print_Area" localSheetId="3">'Statement on Equity Changes'!$B$2:$I$35</definedName>
  </definedNames>
  <calcPr fullCalcOnLoad="1"/>
</workbook>
</file>

<file path=xl/sharedStrings.xml><?xml version="1.0" encoding="utf-8"?>
<sst xmlns="http://schemas.openxmlformats.org/spreadsheetml/2006/main" count="228" uniqueCount="135">
  <si>
    <t>Share Premium</t>
  </si>
  <si>
    <t>Current Assets</t>
  </si>
  <si>
    <t>Inventories</t>
  </si>
  <si>
    <t xml:space="preserve"> </t>
  </si>
  <si>
    <t>RM'000</t>
  </si>
  <si>
    <t>PRECEDING</t>
  </si>
  <si>
    <t>QUARTER</t>
  </si>
  <si>
    <t xml:space="preserve">FINANCIAL 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</si>
  <si>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</si>
  <si>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</si>
  <si>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</si>
  <si>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</si>
  <si>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</si>
  <si>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</si>
  <si>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</si>
  <si>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</si>
  <si>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</si>
  <si>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AS AT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</si>
  <si>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</si>
  <si>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</si>
  <si>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</si>
  <si>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</si>
  <si>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</si>
  <si>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</si>
  <si>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Condensed Consolidated Statement of Changes in Equity</t>
  </si>
  <si>
    <t>Share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</si>
  <si>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</si>
  <si>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</si>
  <si>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</si>
  <si>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</si>
  <si>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</si>
  <si>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</si>
  <si>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</si>
  <si>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</si>
  <si>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</si>
  <si>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Issue of shares</t>
  </si>
  <si>
    <t xml:space="preserve">   foreign subsidiary</t>
  </si>
  <si>
    <t>Condensed Consolidated Statement of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</si>
  <si>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</si>
  <si>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</si>
  <si>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</si>
  <si>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</si>
  <si>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</si>
  <si>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</si>
  <si>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</si>
  <si>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</si>
  <si>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</si>
  <si>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 xml:space="preserve">CONDENSED CONSOLIDATED CASH FLOW STATEMENT 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</si>
  <si>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</si>
  <si>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</si>
  <si>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</si>
  <si>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</si>
  <si>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</si>
  <si>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</si>
  <si>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</si>
  <si>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</si>
  <si>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</si>
  <si>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</si>
  <si>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</si>
  <si>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</si>
  <si>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</si>
  <si>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</si>
  <si>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</si>
  <si>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</si>
  <si>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</si>
  <si>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</si>
  <si>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</si>
  <si>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</si>
  <si>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</si>
  <si>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Intangible Assets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</si>
  <si>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</si>
  <si>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</si>
  <si>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</si>
  <si>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</si>
  <si>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</si>
  <si>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</si>
  <si>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</si>
  <si>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Term loans</t>
  </si>
  <si>
    <t>Minority interest</t>
  </si>
  <si>
    <t>Net tangible assets per share (RM)</t>
  </si>
  <si>
    <t>31/03/03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</si>
  <si>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</si>
  <si>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</si>
  <si>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</si>
  <si>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</si>
  <si>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</si>
  <si>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</si>
  <si>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</si>
  <si>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INVESTING RESULT</t>
  </si>
  <si>
    <t>Profit warranty received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</si>
  <si>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</si>
  <si>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</si>
  <si>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</si>
  <si>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</si>
  <si>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</si>
  <si>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</si>
  <si>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CONDENSED CONSOLIDATED INCOME STATEMENTS</t>
  </si>
  <si>
    <t>Revaluation Reserve</t>
  </si>
  <si>
    <t>Translation Reserve</t>
  </si>
  <si>
    <t>Retained Profit</t>
  </si>
  <si>
    <t>Tax paid</t>
  </si>
  <si>
    <t>Bal. as at 1 January 2003</t>
  </si>
  <si>
    <t>Net Loss for the 12 months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</si>
  <si>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</si>
  <si>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</si>
  <si>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</si>
  <si>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</si>
  <si>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EXCEPTIONAL ITEMS</t>
  </si>
  <si>
    <t>Note</t>
  </si>
  <si>
    <t>30/09/03</t>
  </si>
  <si>
    <t>30/06/03</t>
  </si>
  <si>
    <t>31/12/03</t>
  </si>
  <si>
    <t>Tax Liabilities</t>
  </si>
  <si>
    <t>Bal. as at 31 Dec 2003</t>
  </si>
  <si>
    <t>31/03/04</t>
  </si>
  <si>
    <t>(The Condensed Consolidated Balance Sheet should be read in conjunction with the Annual Financial Report for the year ended 31st December 2003)</t>
  </si>
  <si>
    <t>(The condensed Consolidated Income Statements should be read in conjunction with the Annual Financial Report for the year ended 31st December 2003)</t>
  </si>
  <si>
    <t>2003</t>
  </si>
  <si>
    <t>(The Condensed Consolidated Cash Flow Statement should be read in conjunction with the Annual Financial Report for the year ended 31st December 2003)</t>
  </si>
  <si>
    <t>Bal. as at 1 January 2004</t>
  </si>
  <si>
    <t>(The Condensed Consolidated Statement of Changes in Equity should be read in conjunction with the Annual Financial Report for the year ended 31st December 2003)</t>
  </si>
  <si>
    <t>Reversal of dilution on issue of shares</t>
  </si>
  <si>
    <t>Loss on translation of</t>
  </si>
  <si>
    <t>For the year ended 30 June 2004</t>
  </si>
  <si>
    <t>Net Profit/(Loss) for the six months period</t>
  </si>
  <si>
    <t xml:space="preserve">    6 months period</t>
  </si>
  <si>
    <t>For the six months ended 30 June 2004</t>
  </si>
  <si>
    <t>Net Loss for the 6 months</t>
  </si>
  <si>
    <t>Bal. as at 30 June 2004</t>
  </si>
  <si>
    <t>CASH &amp; CASH EQUIVALENTS AT END OF 2ND QUARTER</t>
  </si>
  <si>
    <t>CONDENSED CONSOLIDATED BALANCE SHEETS AS AT 30.06.04</t>
  </si>
  <si>
    <t>30/06/04</t>
  </si>
  <si>
    <t>FOR THE THREE MONTHS ENDED 30 JUNE 2004</t>
  </si>
  <si>
    <t>31/12/04</t>
  </si>
  <si>
    <t>Gain on translation of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</si>
</sst>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179" fontId="6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left" indent="1"/>
    </xf>
    <xf numFmtId="179" fontId="0" fillId="0" borderId="3" xfId="15" applyNumberFormat="1" applyBorder="1" applyAlignment="1">
      <alignment horizontal="left" indent="1"/>
    </xf>
    <xf numFmtId="16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7" xfId="15" applyNumberForma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43" fontId="1" fillId="0" borderId="3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4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43" fontId="1" fillId="0" borderId="9" xfId="15" applyFont="1" applyBorder="1" applyAlignment="1">
      <alignment/>
    </xf>
    <xf numFmtId="179" fontId="1" fillId="0" borderId="9" xfId="15" applyNumberFormat="1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0" fontId="6" fillId="0" borderId="3" xfId="0" applyFont="1" applyBorder="1" applyAlignment="1">
      <alignment/>
    </xf>
    <xf numFmtId="179" fontId="6" fillId="0" borderId="3" xfId="0" applyNumberFormat="1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right"/>
    </xf>
    <xf numFmtId="179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Alignment="1">
      <alignment horizontal="justify" vertical="top" wrapText="1"/>
    </xf>
    <xf numFmtId="178" fontId="1" fillId="0" borderId="0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78" fontId="1" fillId="0" borderId="0" xfId="15" applyNumberFormat="1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179" fontId="1" fillId="0" borderId="10" xfId="15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6.00390625" style="0" customWidth="1"/>
    <col min="9" max="9" width="4.7109375" style="0" customWidth="1"/>
    <col min="10" max="10" width="16.140625" style="0" customWidth="1"/>
    <col min="16" max="16" width="14.7109375" style="0" customWidth="1"/>
  </cols>
  <sheetData>
    <row r="1" ht="12.75">
      <c r="I1" s="1"/>
    </row>
    <row r="2" spans="1:15" s="13" customFormat="1" ht="16.5" customHeight="1">
      <c r="A2" s="97" t="s">
        <v>103</v>
      </c>
      <c r="B2" s="98"/>
      <c r="C2" s="98"/>
      <c r="D2" s="98"/>
      <c r="E2" s="98"/>
      <c r="F2" s="98"/>
      <c r="G2" s="98"/>
      <c r="H2" s="98"/>
      <c r="I2" s="98"/>
      <c r="J2" s="98"/>
      <c r="K2" s="14"/>
      <c r="L2" s="14"/>
      <c r="M2" s="14"/>
      <c r="N2" s="14"/>
      <c r="O2" s="15"/>
    </row>
    <row r="3" spans="1:10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1.2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ht="11.25" customHeight="1">
      <c r="A5" s="12"/>
      <c r="B5" s="2"/>
      <c r="C5" s="16"/>
      <c r="D5" s="16"/>
      <c r="E5" s="48"/>
      <c r="F5" s="2"/>
      <c r="G5" s="2"/>
      <c r="H5" s="2"/>
      <c r="I5" s="2"/>
      <c r="J5" s="2"/>
    </row>
    <row r="6" spans="1:14" s="17" customFormat="1" ht="15">
      <c r="A6" s="99" t="s">
        <v>130</v>
      </c>
      <c r="B6" s="99"/>
      <c r="C6" s="99"/>
      <c r="D6" s="99"/>
      <c r="E6" s="99"/>
      <c r="F6" s="99"/>
      <c r="G6" s="99"/>
      <c r="H6" s="99"/>
      <c r="I6" s="99"/>
      <c r="J6" s="99"/>
      <c r="K6" s="18"/>
      <c r="N6" s="18"/>
    </row>
    <row r="7" spans="1:14" s="17" customFormat="1" ht="17.25">
      <c r="A7" s="49"/>
      <c r="B7" s="49"/>
      <c r="C7" s="49"/>
      <c r="D7" s="49"/>
      <c r="E7" s="49"/>
      <c r="F7" s="49"/>
      <c r="G7" s="49"/>
      <c r="H7" s="49"/>
      <c r="I7" s="49"/>
      <c r="J7" s="49"/>
      <c r="K7" s="18"/>
      <c r="N7" s="18"/>
    </row>
    <row r="8" spans="1:14" s="17" customFormat="1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18"/>
      <c r="N8" s="18"/>
    </row>
    <row r="9" spans="1:16" s="17" customFormat="1" ht="15">
      <c r="A9" s="50"/>
      <c r="B9" s="50"/>
      <c r="C9" s="50"/>
      <c r="D9" s="50"/>
      <c r="E9" s="50"/>
      <c r="F9" s="50"/>
      <c r="G9" s="50"/>
      <c r="H9" s="51" t="s">
        <v>15</v>
      </c>
      <c r="I9" s="52"/>
      <c r="J9" s="51" t="s">
        <v>17</v>
      </c>
      <c r="K9" s="18"/>
      <c r="N9" s="18"/>
      <c r="P9" s="51" t="s">
        <v>15</v>
      </c>
    </row>
    <row r="10" spans="1:16" ht="12.75">
      <c r="A10" s="2"/>
      <c r="B10" s="2"/>
      <c r="C10" s="2"/>
      <c r="D10" s="2"/>
      <c r="E10" s="2"/>
      <c r="F10" s="2"/>
      <c r="G10" s="2"/>
      <c r="H10" s="53" t="s">
        <v>16</v>
      </c>
      <c r="I10" s="53"/>
      <c r="J10" s="53" t="s">
        <v>5</v>
      </c>
      <c r="P10" s="53" t="s">
        <v>16</v>
      </c>
    </row>
    <row r="11" spans="1:16" ht="12.75">
      <c r="A11" s="2"/>
      <c r="B11" s="2"/>
      <c r="C11" s="2"/>
      <c r="D11" s="2"/>
      <c r="E11" s="2"/>
      <c r="F11" s="2"/>
      <c r="G11" s="2"/>
      <c r="H11" s="53" t="s">
        <v>6</v>
      </c>
      <c r="I11" s="53"/>
      <c r="J11" s="53" t="s">
        <v>7</v>
      </c>
      <c r="P11" s="53" t="s">
        <v>6</v>
      </c>
    </row>
    <row r="12" spans="1:16" ht="12.75">
      <c r="A12" s="2"/>
      <c r="B12" s="2"/>
      <c r="C12" s="2"/>
      <c r="D12" s="2"/>
      <c r="E12" s="2"/>
      <c r="F12" s="2"/>
      <c r="G12" s="2"/>
      <c r="H12" s="53"/>
      <c r="I12" s="53"/>
      <c r="J12" s="53" t="s">
        <v>8</v>
      </c>
      <c r="P12" s="53"/>
    </row>
    <row r="13" spans="1:20" ht="12.75">
      <c r="A13" s="2"/>
      <c r="B13" s="2"/>
      <c r="C13" s="2"/>
      <c r="D13" s="2"/>
      <c r="E13" s="2"/>
      <c r="F13" s="2"/>
      <c r="G13" s="2"/>
      <c r="H13" s="54" t="s">
        <v>131</v>
      </c>
      <c r="I13" s="53"/>
      <c r="J13" s="54" t="s">
        <v>111</v>
      </c>
      <c r="O13" s="54" t="s">
        <v>114</v>
      </c>
      <c r="P13" s="54" t="s">
        <v>80</v>
      </c>
      <c r="Q13" s="54" t="s">
        <v>110</v>
      </c>
      <c r="R13" s="54" t="s">
        <v>109</v>
      </c>
      <c r="T13" s="89"/>
    </row>
    <row r="14" spans="1:20" ht="12.75">
      <c r="A14" s="2"/>
      <c r="B14" s="2"/>
      <c r="C14" s="2"/>
      <c r="D14" s="2"/>
      <c r="E14" s="2"/>
      <c r="F14" s="2"/>
      <c r="G14" s="2"/>
      <c r="H14" s="54" t="s">
        <v>9</v>
      </c>
      <c r="I14" s="53"/>
      <c r="J14" s="54" t="s">
        <v>9</v>
      </c>
      <c r="O14" s="54" t="s">
        <v>9</v>
      </c>
      <c r="P14" s="54" t="s">
        <v>9</v>
      </c>
      <c r="Q14" s="54" t="s">
        <v>9</v>
      </c>
      <c r="R14" s="54" t="s">
        <v>9</v>
      </c>
      <c r="T14" s="89"/>
    </row>
    <row r="15" ht="12.75">
      <c r="T15" s="4"/>
    </row>
    <row r="16" spans="3:20" ht="12.75">
      <c r="C16" s="2" t="s">
        <v>18</v>
      </c>
      <c r="H16" s="3">
        <v>75514</v>
      </c>
      <c r="J16" s="3">
        <v>71946</v>
      </c>
      <c r="O16" s="3">
        <v>70984.797</v>
      </c>
      <c r="P16" s="3">
        <v>75128.73</v>
      </c>
      <c r="Q16" s="3">
        <v>73906.839</v>
      </c>
      <c r="R16" s="3">
        <v>73362.498</v>
      </c>
      <c r="T16" s="8"/>
    </row>
    <row r="17" spans="3:20" ht="12.75">
      <c r="C17" t="s">
        <v>69</v>
      </c>
      <c r="H17" s="3">
        <v>1014</v>
      </c>
      <c r="J17" s="3">
        <v>1041</v>
      </c>
      <c r="O17" s="3">
        <v>1031.284</v>
      </c>
      <c r="P17" s="3">
        <v>1101.45</v>
      </c>
      <c r="Q17" s="3">
        <v>1083.908</v>
      </c>
      <c r="R17" s="3">
        <f>1076.817</f>
        <v>1076.817</v>
      </c>
      <c r="T17" s="8"/>
    </row>
    <row r="18" spans="3:20" ht="12.75">
      <c r="C18" s="2"/>
      <c r="T18" s="4"/>
    </row>
    <row r="19" spans="3:20" ht="12.75">
      <c r="C19" s="2"/>
      <c r="H19" s="3"/>
      <c r="J19" s="3"/>
      <c r="O19" s="3"/>
      <c r="P19" s="3"/>
      <c r="Q19" s="3"/>
      <c r="R19" s="3"/>
      <c r="T19" s="8"/>
    </row>
    <row r="20" spans="8:20" ht="12.75">
      <c r="H20" s="3"/>
      <c r="J20" s="3"/>
      <c r="O20" s="3"/>
      <c r="P20" s="3"/>
      <c r="Q20" s="3"/>
      <c r="R20" s="3"/>
      <c r="T20" s="8"/>
    </row>
    <row r="21" spans="3:20" ht="12.75">
      <c r="C21" s="2" t="s">
        <v>1</v>
      </c>
      <c r="H21" s="10"/>
      <c r="J21" s="10"/>
      <c r="O21" s="10"/>
      <c r="P21" s="10"/>
      <c r="Q21" s="10"/>
      <c r="R21" s="10"/>
      <c r="T21" s="8"/>
    </row>
    <row r="22" spans="4:20" ht="12.75">
      <c r="D22" t="s">
        <v>2</v>
      </c>
      <c r="H22" s="5">
        <v>18384.689</v>
      </c>
      <c r="J22" s="5">
        <v>19147</v>
      </c>
      <c r="O22" s="5">
        <v>18175.076</v>
      </c>
      <c r="P22" s="5">
        <v>23869.59</v>
      </c>
      <c r="Q22" s="5">
        <v>23085.141</v>
      </c>
      <c r="R22" s="5">
        <f>20995.857</f>
        <v>20995.857</v>
      </c>
      <c r="T22" s="8"/>
    </row>
    <row r="23" spans="4:20" ht="12.75">
      <c r="D23" t="s">
        <v>70</v>
      </c>
      <c r="H23" s="5">
        <v>12038.046</v>
      </c>
      <c r="J23" s="5">
        <v>11800</v>
      </c>
      <c r="O23" s="5">
        <v>12498.941</v>
      </c>
      <c r="P23" s="5">
        <v>13149.785</v>
      </c>
      <c r="Q23" s="5">
        <v>11309.924</v>
      </c>
      <c r="R23" s="5">
        <f>12033.943</f>
        <v>12033.943</v>
      </c>
      <c r="T23" s="8"/>
    </row>
    <row r="24" spans="4:20" ht="12.75">
      <c r="D24" t="s">
        <v>10</v>
      </c>
      <c r="H24" s="5">
        <f>4390.5</f>
        <v>4390.5</v>
      </c>
      <c r="J24" s="5">
        <v>4541</v>
      </c>
      <c r="O24" s="5">
        <v>3881.613</v>
      </c>
      <c r="P24" s="5">
        <v>4929.384</v>
      </c>
      <c r="Q24" s="5">
        <v>4841.728</v>
      </c>
      <c r="R24" s="5">
        <f>4221.425</f>
        <v>4221.425</v>
      </c>
      <c r="T24" s="8"/>
    </row>
    <row r="25" spans="4:20" ht="12.75">
      <c r="D25" t="s">
        <v>11</v>
      </c>
      <c r="H25" s="5">
        <f>3.415+175.972</f>
        <v>179.387</v>
      </c>
      <c r="J25" s="5">
        <f>3.967+164</f>
        <v>167.967</v>
      </c>
      <c r="O25" s="5">
        <f>2.566+223.25</f>
        <v>225.816</v>
      </c>
      <c r="P25" s="5">
        <f>1599.375+0.682</f>
        <v>1600.057</v>
      </c>
      <c r="Q25" s="5">
        <f>3.573+2319.466</f>
        <v>2323.0389999999998</v>
      </c>
      <c r="R25" s="5">
        <f>3.413+1698.045</f>
        <v>1701.458</v>
      </c>
      <c r="T25" s="8"/>
    </row>
    <row r="26" spans="8:20" ht="12.75">
      <c r="H26" s="26">
        <f>SUM(H22:H25)</f>
        <v>34992.622</v>
      </c>
      <c r="J26" s="26">
        <f>SUM(J22:J25)</f>
        <v>35655.967</v>
      </c>
      <c r="O26" s="26">
        <f>SUM(O22:O25)</f>
        <v>34781.445999999996</v>
      </c>
      <c r="P26" s="26">
        <f>SUM(P22:P25)</f>
        <v>43548.816</v>
      </c>
      <c r="Q26" s="26">
        <f>SUM(Q22:Q25)</f>
        <v>41559.832</v>
      </c>
      <c r="R26" s="26">
        <f>SUM(R22:R25)</f>
        <v>38952.683000000005</v>
      </c>
      <c r="T26" s="8"/>
    </row>
    <row r="27" spans="3:20" ht="12.75">
      <c r="C27" s="2" t="s">
        <v>12</v>
      </c>
      <c r="H27" s="5"/>
      <c r="J27" s="5"/>
      <c r="O27" s="5"/>
      <c r="P27" s="5"/>
      <c r="Q27" s="5"/>
      <c r="R27" s="5"/>
      <c r="T27" s="8"/>
    </row>
    <row r="28" spans="3:20" ht="12.75">
      <c r="C28" s="2"/>
      <c r="D28" t="s">
        <v>19</v>
      </c>
      <c r="H28" s="5">
        <v>21587.756</v>
      </c>
      <c r="J28" s="5">
        <v>21402</v>
      </c>
      <c r="O28" s="5">
        <f>20536.355</f>
        <v>20536.355</v>
      </c>
      <c r="P28" s="5">
        <f>21681.885</f>
        <v>21681.885</v>
      </c>
      <c r="Q28" s="5">
        <v>19955.535</v>
      </c>
      <c r="R28" s="5">
        <f>21101.497</f>
        <v>21101.497</v>
      </c>
      <c r="T28" s="8"/>
    </row>
    <row r="29" spans="3:20" ht="12.75">
      <c r="C29" s="2"/>
      <c r="D29" t="s">
        <v>20</v>
      </c>
      <c r="H29" s="5">
        <f>15435.612+5994.14</f>
        <v>21429.752</v>
      </c>
      <c r="J29" s="5">
        <f>8235+5804.7</f>
        <v>14039.7</v>
      </c>
      <c r="O29" s="5">
        <f>9248.742+5950.603</f>
        <v>15199.345000000001</v>
      </c>
      <c r="P29" s="5">
        <f>8511.587+3219.585</f>
        <v>11731.171999999999</v>
      </c>
      <c r="Q29" s="5">
        <f>9845.578+4019.02</f>
        <v>13864.598</v>
      </c>
      <c r="R29" s="5">
        <f>9371.103+4443.02</f>
        <v>13814.123</v>
      </c>
      <c r="T29" s="8"/>
    </row>
    <row r="30" spans="4:20" ht="12.75">
      <c r="D30" t="s">
        <v>66</v>
      </c>
      <c r="H30" s="5">
        <f>17925.143+4749.028+25775.819</f>
        <v>48449.990000000005</v>
      </c>
      <c r="J30" s="5">
        <f>17685.143+25970.512+4594.327</f>
        <v>48249.981999999996</v>
      </c>
      <c r="O30" s="5">
        <f>17925.143+4675.976+25457.005</f>
        <v>48058.123999999996</v>
      </c>
      <c r="P30" s="5">
        <f>27187.458+17738.471+4791.346</f>
        <v>49717.275</v>
      </c>
      <c r="Q30" s="5">
        <f>26755.159+5570.961+17738.471</f>
        <v>50064.591</v>
      </c>
      <c r="R30" s="5">
        <f>17685.143+4325.597+27063.521</f>
        <v>49074.261</v>
      </c>
      <c r="T30" s="8"/>
    </row>
    <row r="31" spans="4:20" ht="12.75">
      <c r="D31" t="s">
        <v>13</v>
      </c>
      <c r="H31" s="5">
        <f>4982.06</f>
        <v>4982.06</v>
      </c>
      <c r="J31" s="5">
        <v>5207</v>
      </c>
      <c r="O31" s="5">
        <f>5146.771</f>
        <v>5146.771</v>
      </c>
      <c r="P31" s="5">
        <f>6684.292</f>
        <v>6684.292</v>
      </c>
      <c r="Q31" s="5">
        <f>6095.823</f>
        <v>6095.823</v>
      </c>
      <c r="R31" s="5">
        <f>5953.714</f>
        <v>5953.714</v>
      </c>
      <c r="T31" s="8"/>
    </row>
    <row r="32" spans="4:20" ht="12.75">
      <c r="D32" t="s">
        <v>112</v>
      </c>
      <c r="H32" s="5">
        <f>3.322</f>
        <v>3.322</v>
      </c>
      <c r="J32" s="5">
        <v>3.322</v>
      </c>
      <c r="O32" s="5">
        <f>3.322</f>
        <v>3.322</v>
      </c>
      <c r="P32" s="5"/>
      <c r="Q32" s="5"/>
      <c r="R32" s="5"/>
      <c r="T32" s="8"/>
    </row>
    <row r="33" spans="8:20" ht="12.75">
      <c r="H33" s="6"/>
      <c r="J33" s="6"/>
      <c r="O33" s="6"/>
      <c r="P33" s="6"/>
      <c r="Q33" s="6"/>
      <c r="R33" s="6"/>
      <c r="T33" s="8"/>
    </row>
    <row r="34" spans="8:20" ht="12.75">
      <c r="H34" s="6">
        <f>SUM(H28:H33)</f>
        <v>96452.88</v>
      </c>
      <c r="J34" s="6">
        <f>SUM(J28:J33)</f>
        <v>88902.004</v>
      </c>
      <c r="O34" s="6">
        <f>SUM(O28:O33)</f>
        <v>88943.91699999999</v>
      </c>
      <c r="P34" s="6">
        <f>SUM(P28:P33)</f>
        <v>89814.624</v>
      </c>
      <c r="Q34" s="6">
        <f>SUM(Q28:Q33)</f>
        <v>89980.547</v>
      </c>
      <c r="R34" s="6">
        <f>SUM(R28:R33)</f>
        <v>89943.595</v>
      </c>
      <c r="T34" s="8"/>
    </row>
    <row r="35" spans="8:20" ht="12.75">
      <c r="H35" s="3"/>
      <c r="J35" s="3"/>
      <c r="O35" s="3"/>
      <c r="P35" s="3"/>
      <c r="Q35" s="3"/>
      <c r="R35" s="3"/>
      <c r="T35" s="8"/>
    </row>
    <row r="36" spans="3:20" ht="12.75">
      <c r="C36" s="2" t="s">
        <v>71</v>
      </c>
      <c r="H36" s="3">
        <f>H26-H34+0.5</f>
        <v>-61459.758</v>
      </c>
      <c r="J36" s="3">
        <f>J26-J34+0.5</f>
        <v>-53245.537000000004</v>
      </c>
      <c r="O36" s="3">
        <f>O26-O34+0.5</f>
        <v>-54161.97099999999</v>
      </c>
      <c r="P36" s="3">
        <f>P26-P34</f>
        <v>-46265.808</v>
      </c>
      <c r="Q36" s="3">
        <f>Q26-Q34</f>
        <v>-48420.715000000004</v>
      </c>
      <c r="R36" s="3">
        <f>R26-R34</f>
        <v>-50990.912</v>
      </c>
      <c r="T36" s="8"/>
    </row>
    <row r="37" spans="8:20" ht="12.75">
      <c r="H37" s="7" t="s">
        <v>3</v>
      </c>
      <c r="J37" s="7" t="s">
        <v>3</v>
      </c>
      <c r="O37" s="7" t="s">
        <v>3</v>
      </c>
      <c r="P37" s="7" t="s">
        <v>3</v>
      </c>
      <c r="Q37" s="7" t="s">
        <v>3</v>
      </c>
      <c r="R37" s="7" t="s">
        <v>3</v>
      </c>
      <c r="T37" s="90"/>
    </row>
    <row r="38" spans="8:20" ht="13.5" thickBot="1">
      <c r="H38" s="27">
        <f>H16+H17+H18+H19+H36</f>
        <v>15068.241999999998</v>
      </c>
      <c r="J38" s="27">
        <f>J16+J17+J18+J19+J36</f>
        <v>19741.462999999996</v>
      </c>
      <c r="O38" s="27">
        <f>O16+O17+O18+O19+O36</f>
        <v>17854.110000000015</v>
      </c>
      <c r="P38" s="27">
        <f>P16+P17+P18+P19+P36</f>
        <v>29964.371999999996</v>
      </c>
      <c r="Q38" s="27">
        <f>Q16+Q17+Q18+Q19+Q36</f>
        <v>26570.032</v>
      </c>
      <c r="R38" s="27">
        <f>R16+R17+R18+R19+R36</f>
        <v>23448.403000000006</v>
      </c>
      <c r="T38" s="8"/>
    </row>
    <row r="39" spans="8:20" ht="13.5" thickTop="1">
      <c r="H39" s="8"/>
      <c r="J39" s="8"/>
      <c r="O39" s="8"/>
      <c r="P39" s="8"/>
      <c r="Q39" s="8"/>
      <c r="R39" s="8"/>
      <c r="T39" s="8"/>
    </row>
    <row r="40" spans="3:20" ht="12.75">
      <c r="C40" s="2"/>
      <c r="H40" s="3"/>
      <c r="J40" s="3"/>
      <c r="O40" s="3"/>
      <c r="P40" s="3"/>
      <c r="Q40" s="3"/>
      <c r="R40" s="3"/>
      <c r="T40" s="8"/>
    </row>
    <row r="41" spans="3:20" ht="12.75">
      <c r="C41" t="s">
        <v>72</v>
      </c>
      <c r="H41" s="8">
        <v>82330.811</v>
      </c>
      <c r="J41" s="8">
        <v>82330.811</v>
      </c>
      <c r="O41" s="8">
        <v>82330.811</v>
      </c>
      <c r="P41" s="8">
        <v>82330.811</v>
      </c>
      <c r="Q41" s="8">
        <v>82330.811</v>
      </c>
      <c r="R41" s="8">
        <v>82330.811</v>
      </c>
      <c r="T41" s="8"/>
    </row>
    <row r="42" spans="3:20" ht="12.75">
      <c r="C42" t="s">
        <v>73</v>
      </c>
      <c r="H42" s="8"/>
      <c r="J42" s="8"/>
      <c r="O42" s="8"/>
      <c r="P42" s="8"/>
      <c r="Q42" s="8"/>
      <c r="R42" s="8"/>
      <c r="T42" s="8"/>
    </row>
    <row r="43" spans="4:20" ht="12.75">
      <c r="D43" t="s">
        <v>0</v>
      </c>
      <c r="H43" s="8">
        <v>6977.926</v>
      </c>
      <c r="J43" s="8">
        <v>6977.926</v>
      </c>
      <c r="O43" s="8">
        <v>6977.926</v>
      </c>
      <c r="P43" s="8">
        <v>6977.926</v>
      </c>
      <c r="Q43" s="8">
        <v>6977.926</v>
      </c>
      <c r="R43" s="8">
        <v>6977.926</v>
      </c>
      <c r="T43" s="8"/>
    </row>
    <row r="44" spans="4:20" ht="12.75">
      <c r="D44" t="s">
        <v>97</v>
      </c>
      <c r="H44" s="8">
        <v>1726</v>
      </c>
      <c r="J44" s="8">
        <v>1726</v>
      </c>
      <c r="O44" s="8">
        <v>1726</v>
      </c>
      <c r="P44" s="8">
        <v>1726</v>
      </c>
      <c r="Q44" s="8">
        <v>1726</v>
      </c>
      <c r="R44" s="8">
        <v>1726</v>
      </c>
      <c r="T44" s="8"/>
    </row>
    <row r="45" spans="4:20" ht="12.75">
      <c r="D45" t="s">
        <v>98</v>
      </c>
      <c r="H45" s="8">
        <f>-579.793</f>
        <v>-579.793</v>
      </c>
      <c r="J45" s="8">
        <f>-744</f>
        <v>-744</v>
      </c>
      <c r="O45" s="8">
        <f>-755.554</f>
        <v>-755.554</v>
      </c>
      <c r="P45" s="8">
        <f>617.63-279.827</f>
        <v>337.803</v>
      </c>
      <c r="Q45" s="8">
        <v>48.594</v>
      </c>
      <c r="R45" s="8">
        <f>-442.544</f>
        <v>-442.544</v>
      </c>
      <c r="T45" s="8"/>
    </row>
    <row r="46" spans="4:20" ht="12.75">
      <c r="D46" t="s">
        <v>99</v>
      </c>
      <c r="H46" s="8">
        <f>-78511.782</f>
        <v>-78511.782</v>
      </c>
      <c r="J46" s="8">
        <f>-72315</f>
        <v>-72315</v>
      </c>
      <c r="O46" s="8">
        <f>-75562.986</f>
        <v>-75562.986</v>
      </c>
      <c r="P46" s="8">
        <v>-64493.688</v>
      </c>
      <c r="Q46" s="8">
        <f>-66640.66</f>
        <v>-66640.66</v>
      </c>
      <c r="R46" s="8">
        <f>-69098.834</f>
        <v>-69098.834</v>
      </c>
      <c r="T46" s="8"/>
    </row>
    <row r="47" spans="3:20" ht="12.75">
      <c r="C47" t="s">
        <v>74</v>
      </c>
      <c r="H47" s="47">
        <f>SUM(H41:H46)</f>
        <v>11943.161999999997</v>
      </c>
      <c r="J47" s="47">
        <f>SUM(J41:J46)</f>
        <v>17975.73700000001</v>
      </c>
      <c r="O47" s="47">
        <f>SUM(O41:O46)</f>
        <v>14716.197</v>
      </c>
      <c r="P47" s="47">
        <f>SUM(P41:P46)</f>
        <v>26878.852000000006</v>
      </c>
      <c r="Q47" s="47">
        <f>SUM(Q41:Q46)</f>
        <v>24442.671000000002</v>
      </c>
      <c r="R47" s="47">
        <f>SUM(R41:R46)</f>
        <v>21493.35900000001</v>
      </c>
      <c r="T47" s="8"/>
    </row>
    <row r="48" spans="3:20" ht="12.75">
      <c r="C48" t="s">
        <v>78</v>
      </c>
      <c r="H48" s="8">
        <f>-22</f>
        <v>-22</v>
      </c>
      <c r="J48" s="8">
        <f>-16.5</f>
        <v>-16.5</v>
      </c>
      <c r="O48" s="8">
        <f>-17.153</f>
        <v>-17.153</v>
      </c>
      <c r="P48" s="8">
        <v>-30</v>
      </c>
      <c r="Q48" s="8">
        <v>-27.423</v>
      </c>
      <c r="R48" s="8">
        <f>-12.161</f>
        <v>-12.161</v>
      </c>
      <c r="T48" s="8"/>
    </row>
    <row r="49" spans="8:20" ht="12.75">
      <c r="H49" s="40">
        <f>+H47+H48</f>
        <v>11921.161999999997</v>
      </c>
      <c r="J49" s="40">
        <f>+J47+J48</f>
        <v>17959.23700000001</v>
      </c>
      <c r="O49" s="40">
        <f>+O47+O48</f>
        <v>14699.044</v>
      </c>
      <c r="P49" s="40">
        <f>+P47+P48</f>
        <v>26848.852000000006</v>
      </c>
      <c r="Q49" s="40">
        <f>+Q47+Q48</f>
        <v>24415.248000000003</v>
      </c>
      <c r="R49" s="40">
        <f>+R47+R48</f>
        <v>21481.19800000001</v>
      </c>
      <c r="T49" s="8"/>
    </row>
    <row r="50" spans="3:20" ht="12.75">
      <c r="C50" t="s">
        <v>75</v>
      </c>
      <c r="H50" s="8"/>
      <c r="J50" s="8"/>
      <c r="O50" s="8"/>
      <c r="P50" s="8"/>
      <c r="Q50" s="8"/>
      <c r="R50" s="8"/>
      <c r="T50" s="8"/>
    </row>
    <row r="51" spans="4:20" ht="12.75">
      <c r="D51" t="s">
        <v>76</v>
      </c>
      <c r="H51" s="3">
        <f>47.305</f>
        <v>47.305</v>
      </c>
      <c r="J51" s="3">
        <f>61.767</f>
        <v>61.767</v>
      </c>
      <c r="O51" s="3">
        <f>54.567</f>
        <v>54.567</v>
      </c>
      <c r="P51" s="3">
        <f>82.358</f>
        <v>82.358</v>
      </c>
      <c r="Q51" s="3">
        <f>74.757</f>
        <v>74.757</v>
      </c>
      <c r="R51" s="3">
        <f>67.155</f>
        <v>67.155</v>
      </c>
      <c r="T51" s="8"/>
    </row>
    <row r="52" spans="4:20" ht="12.75">
      <c r="D52" t="s">
        <v>77</v>
      </c>
      <c r="H52" s="8">
        <f>3100</f>
        <v>3100</v>
      </c>
      <c r="J52" s="8">
        <f>1720</f>
        <v>1720</v>
      </c>
      <c r="O52" s="8">
        <f>3100</f>
        <v>3100</v>
      </c>
      <c r="P52" s="8">
        <f>3032.653</f>
        <v>3032.653</v>
      </c>
      <c r="Q52" s="8">
        <f>2080</f>
        <v>2080</v>
      </c>
      <c r="R52" s="8">
        <f>1900</f>
        <v>1900</v>
      </c>
      <c r="T52" s="8"/>
    </row>
    <row r="53" spans="8:20" ht="13.5" thickBot="1">
      <c r="H53" s="27">
        <f>+H49+H51+H52</f>
        <v>15068.466999999997</v>
      </c>
      <c r="J53" s="27">
        <f>+J49+J51+J52</f>
        <v>19741.004000000008</v>
      </c>
      <c r="O53" s="27">
        <f>+O49+O51+O52</f>
        <v>17853.610999999997</v>
      </c>
      <c r="P53" s="27">
        <f>+P49+P51+P52</f>
        <v>29963.863000000005</v>
      </c>
      <c r="Q53" s="27">
        <f>+Q49+Q51+Q52</f>
        <v>26570.005000000005</v>
      </c>
      <c r="R53" s="27">
        <f>+R49+R51+R52</f>
        <v>23448.35300000001</v>
      </c>
      <c r="T53" s="8"/>
    </row>
    <row r="54" spans="10:20" ht="13.5" thickTop="1">
      <c r="J54" s="3"/>
      <c r="P54" s="3"/>
      <c r="Q54" s="3"/>
      <c r="T54" s="4"/>
    </row>
    <row r="55" ht="12.75">
      <c r="T55" s="4"/>
    </row>
    <row r="56" spans="8:20" ht="12.75">
      <c r="H56" s="8"/>
      <c r="J56" s="8"/>
      <c r="O56" s="8"/>
      <c r="T56" s="8"/>
    </row>
    <row r="57" spans="8:20" ht="12.75">
      <c r="H57" s="8"/>
      <c r="J57" s="8"/>
      <c r="O57" s="8"/>
      <c r="T57" s="8"/>
    </row>
    <row r="58" spans="3:20" ht="12.75">
      <c r="C58" t="s">
        <v>79</v>
      </c>
      <c r="H58" s="35">
        <f>(H47-H17)/(H41)</f>
        <v>0.13274692508494781</v>
      </c>
      <c r="I58" s="3"/>
      <c r="J58" s="35">
        <f>(J47-J17)/(J41)</f>
        <v>0.20569136626141102</v>
      </c>
      <c r="O58" s="35">
        <f>(O47-O17)/(O41)</f>
        <v>0.16621861043006123</v>
      </c>
      <c r="T58" s="91"/>
    </row>
    <row r="59" spans="8:20" ht="12.75">
      <c r="H59" s="3"/>
      <c r="J59" s="3"/>
      <c r="O59" s="3"/>
      <c r="T59" s="8"/>
    </row>
    <row r="60" spans="8:20" ht="12.75">
      <c r="H60" s="3"/>
      <c r="J60" s="3"/>
      <c r="T60" s="4"/>
    </row>
    <row r="61" spans="3:20" ht="12.75">
      <c r="C61" s="100" t="s">
        <v>115</v>
      </c>
      <c r="D61" s="100"/>
      <c r="E61" s="100"/>
      <c r="F61" s="100"/>
      <c r="G61" s="100"/>
      <c r="H61" s="100"/>
      <c r="I61" s="100"/>
      <c r="J61" s="100"/>
      <c r="T61" s="4"/>
    </row>
    <row r="62" spans="3:20" ht="12.75">
      <c r="C62" s="100"/>
      <c r="D62" s="100"/>
      <c r="E62" s="100"/>
      <c r="F62" s="100"/>
      <c r="G62" s="100"/>
      <c r="H62" s="100"/>
      <c r="I62" s="100"/>
      <c r="J62" s="100"/>
      <c r="T62" s="4"/>
    </row>
    <row r="63" spans="8:20" ht="12.75">
      <c r="H63" s="3"/>
      <c r="J63" s="3"/>
      <c r="T63" s="4"/>
    </row>
    <row r="64" spans="8:20" ht="12.75">
      <c r="H64" s="3"/>
      <c r="J64" s="3"/>
      <c r="T64" s="4"/>
    </row>
    <row r="65" spans="8:20" ht="12.75">
      <c r="H65" s="28"/>
      <c r="J65" s="3"/>
      <c r="T65" s="4"/>
    </row>
    <row r="66" spans="8:10" ht="12.75">
      <c r="H66" s="3">
        <f>+H38-H53</f>
        <v>-0.2249999999985448</v>
      </c>
      <c r="J66" s="3"/>
    </row>
    <row r="67" spans="8:10" ht="12.75">
      <c r="H67" s="8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spans="8:10" ht="12.75">
      <c r="H81" s="3"/>
      <c r="J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</sheetData>
  <mergeCells count="3">
    <mergeCell ref="A2:J4"/>
    <mergeCell ref="A6:J6"/>
    <mergeCell ref="C61:J62"/>
  </mergeCells>
  <printOptions/>
  <pageMargins left="0.75" right="0.75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5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7" customWidth="1"/>
    <col min="2" max="2" width="1.7109375" style="17" customWidth="1"/>
    <col min="3" max="3" width="4.28125" style="17" customWidth="1"/>
    <col min="4" max="4" width="18.00390625" style="17" customWidth="1"/>
    <col min="5" max="5" width="6.8515625" style="17" customWidth="1"/>
    <col min="6" max="6" width="7.28125" style="17" customWidth="1"/>
    <col min="7" max="7" width="12.7109375" style="17" customWidth="1"/>
    <col min="8" max="8" width="1.7109375" style="17" customWidth="1"/>
    <col min="9" max="9" width="13.7109375" style="17" customWidth="1"/>
    <col min="10" max="10" width="3.7109375" style="17" customWidth="1"/>
    <col min="11" max="11" width="12.7109375" style="18" customWidth="1"/>
    <col min="12" max="12" width="1.7109375" style="17" customWidth="1"/>
    <col min="13" max="13" width="13.7109375" style="17" customWidth="1"/>
    <col min="14" max="14" width="8.00390625" style="17" customWidth="1"/>
    <col min="15" max="15" width="8.8515625" style="17" customWidth="1"/>
    <col min="16" max="17" width="9.140625" style="17" customWidth="1"/>
    <col min="18" max="18" width="10.7109375" style="17" customWidth="1"/>
    <col min="19" max="19" width="10.140625" style="17" bestFit="1" customWidth="1"/>
    <col min="20" max="20" width="9.140625" style="17" customWidth="1"/>
    <col min="21" max="21" width="10.28125" style="17" customWidth="1"/>
    <col min="22" max="22" width="11.7109375" style="17" customWidth="1"/>
    <col min="23" max="16384" width="9.140625" style="17" customWidth="1"/>
  </cols>
  <sheetData>
    <row r="3" spans="1:15" s="13" customFormat="1" ht="16.5" customHeight="1">
      <c r="A3" s="12"/>
      <c r="C3" s="97" t="s">
        <v>104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48"/>
      <c r="O3" s="48"/>
    </row>
    <row r="4" spans="1:15" ht="11.25" customHeight="1">
      <c r="A4" s="12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8"/>
      <c r="O4" s="48"/>
    </row>
    <row r="5" spans="1:15" ht="11.25" customHeight="1">
      <c r="A5" s="12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8"/>
      <c r="O5" s="48"/>
    </row>
    <row r="6" spans="1:15" ht="15" customHeight="1">
      <c r="A6" s="12" t="s">
        <v>3</v>
      </c>
      <c r="C6" s="111" t="s">
        <v>96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87"/>
      <c r="O6" s="87"/>
    </row>
    <row r="7" spans="1:15" ht="15" customHeight="1">
      <c r="A7" s="12"/>
      <c r="C7" s="110" t="s">
        <v>132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86"/>
      <c r="O7" s="86"/>
    </row>
    <row r="8" spans="1:15" ht="11.25" customHeight="1">
      <c r="A8" s="12"/>
      <c r="C8" s="16"/>
      <c r="D8" s="16"/>
      <c r="E8" s="48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9"/>
      <c r="B9" s="20"/>
      <c r="C9" s="2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5">
      <c r="A10" s="19"/>
      <c r="B10" s="20"/>
      <c r="C10" s="2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">
      <c r="A11" s="19"/>
      <c r="B11" s="20"/>
      <c r="C11" s="2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3:15" ht="12.75">
      <c r="C12" s="1" t="s">
        <v>14</v>
      </c>
      <c r="D12" s="1"/>
      <c r="E12" s="1"/>
      <c r="F12" s="1"/>
      <c r="G12" s="101">
        <v>2004</v>
      </c>
      <c r="H12" s="102"/>
      <c r="I12" s="103"/>
      <c r="J12" s="1"/>
      <c r="K12" s="104" t="s">
        <v>117</v>
      </c>
      <c r="L12" s="105"/>
      <c r="M12" s="106"/>
      <c r="N12" s="88"/>
      <c r="O12" s="88"/>
    </row>
    <row r="13" spans="3:22" s="21" customFormat="1" ht="13.5" customHeight="1">
      <c r="C13" s="56"/>
      <c r="D13" s="56"/>
      <c r="E13" s="56"/>
      <c r="F13" s="56"/>
      <c r="G13" s="78" t="s">
        <v>84</v>
      </c>
      <c r="H13" s="78"/>
      <c r="I13" s="76" t="s">
        <v>81</v>
      </c>
      <c r="J13" s="76"/>
      <c r="K13" s="78" t="s">
        <v>84</v>
      </c>
      <c r="L13" s="76"/>
      <c r="M13" s="76" t="s">
        <v>81</v>
      </c>
      <c r="N13" s="76"/>
      <c r="O13" s="76"/>
      <c r="Q13" s="78" t="s">
        <v>84</v>
      </c>
      <c r="R13" s="78" t="s">
        <v>84</v>
      </c>
      <c r="S13" s="78" t="s">
        <v>84</v>
      </c>
      <c r="T13" s="78" t="s">
        <v>84</v>
      </c>
      <c r="U13" s="78" t="s">
        <v>84</v>
      </c>
      <c r="V13" s="22" t="s">
        <v>81</v>
      </c>
    </row>
    <row r="14" spans="3:26" s="21" customFormat="1" ht="13.5" customHeight="1">
      <c r="C14" s="56"/>
      <c r="D14" s="56"/>
      <c r="E14" s="56"/>
      <c r="F14" s="56"/>
      <c r="G14" s="76" t="s">
        <v>6</v>
      </c>
      <c r="H14" s="76"/>
      <c r="I14" s="76" t="s">
        <v>6</v>
      </c>
      <c r="J14" s="76"/>
      <c r="K14" s="76" t="s">
        <v>82</v>
      </c>
      <c r="L14" s="76"/>
      <c r="M14" s="76" t="s">
        <v>82</v>
      </c>
      <c r="N14" s="76"/>
      <c r="O14" s="76"/>
      <c r="Q14" s="76" t="s">
        <v>82</v>
      </c>
      <c r="R14" s="76" t="s">
        <v>6</v>
      </c>
      <c r="S14" s="76" t="s">
        <v>6</v>
      </c>
      <c r="T14" s="76" t="s">
        <v>6</v>
      </c>
      <c r="U14" s="76" t="s">
        <v>6</v>
      </c>
      <c r="V14" s="22" t="s">
        <v>82</v>
      </c>
      <c r="W14" s="76" t="s">
        <v>6</v>
      </c>
      <c r="X14" s="76" t="s">
        <v>6</v>
      </c>
      <c r="Y14" s="76" t="s">
        <v>6</v>
      </c>
      <c r="Z14" s="76" t="s">
        <v>6</v>
      </c>
    </row>
    <row r="15" spans="3:26" s="21" customFormat="1" ht="13.5" customHeight="1">
      <c r="C15" s="56"/>
      <c r="D15" s="56"/>
      <c r="E15" s="56"/>
      <c r="F15" s="56"/>
      <c r="G15" s="76" t="s">
        <v>83</v>
      </c>
      <c r="H15" s="76"/>
      <c r="I15" s="76" t="s">
        <v>83</v>
      </c>
      <c r="J15" s="76"/>
      <c r="K15" s="76" t="s">
        <v>83</v>
      </c>
      <c r="L15" s="76"/>
      <c r="M15" s="76" t="s">
        <v>83</v>
      </c>
      <c r="N15" s="76"/>
      <c r="O15" s="76"/>
      <c r="Q15" s="76" t="s">
        <v>83</v>
      </c>
      <c r="R15" s="76" t="s">
        <v>83</v>
      </c>
      <c r="S15" s="76" t="s">
        <v>83</v>
      </c>
      <c r="T15" s="76" t="s">
        <v>83</v>
      </c>
      <c r="U15" s="76" t="s">
        <v>83</v>
      </c>
      <c r="V15" s="23" t="s">
        <v>83</v>
      </c>
      <c r="W15" s="76" t="s">
        <v>83</v>
      </c>
      <c r="X15" s="76" t="s">
        <v>83</v>
      </c>
      <c r="Y15" s="76" t="s">
        <v>83</v>
      </c>
      <c r="Z15" s="76" t="s">
        <v>83</v>
      </c>
    </row>
    <row r="16" spans="3:26" ht="12.75">
      <c r="C16" s="1"/>
      <c r="D16" s="1"/>
      <c r="E16" s="1"/>
      <c r="F16" s="1"/>
      <c r="G16" s="80" t="s">
        <v>131</v>
      </c>
      <c r="H16" s="76" t="s">
        <v>3</v>
      </c>
      <c r="I16" s="79">
        <v>37802</v>
      </c>
      <c r="J16" s="76"/>
      <c r="K16" s="80" t="s">
        <v>131</v>
      </c>
      <c r="L16" s="76" t="s">
        <v>3</v>
      </c>
      <c r="M16" s="79">
        <v>37802</v>
      </c>
      <c r="N16" s="80"/>
      <c r="O16" s="80"/>
      <c r="P16" s="23"/>
      <c r="Q16" s="80" t="s">
        <v>133</v>
      </c>
      <c r="R16" s="80" t="s">
        <v>133</v>
      </c>
      <c r="S16" s="79">
        <v>38260</v>
      </c>
      <c r="T16" s="79">
        <v>38168</v>
      </c>
      <c r="U16" s="79">
        <v>38077</v>
      </c>
      <c r="V16" s="80" t="s">
        <v>111</v>
      </c>
      <c r="W16" s="80" t="s">
        <v>111</v>
      </c>
      <c r="X16" s="79">
        <v>37894</v>
      </c>
      <c r="Y16" s="79">
        <v>37802</v>
      </c>
      <c r="Z16" s="79" t="s">
        <v>80</v>
      </c>
    </row>
    <row r="17" spans="3:26" ht="12.75">
      <c r="C17" s="1"/>
      <c r="D17" s="1"/>
      <c r="E17" s="1"/>
      <c r="F17" s="1" t="s">
        <v>108</v>
      </c>
      <c r="G17" s="53" t="s">
        <v>4</v>
      </c>
      <c r="H17" s="53"/>
      <c r="I17" s="53" t="s">
        <v>4</v>
      </c>
      <c r="J17" s="77"/>
      <c r="K17" s="75" t="s">
        <v>4</v>
      </c>
      <c r="L17" s="53"/>
      <c r="M17" s="53" t="s">
        <v>4</v>
      </c>
      <c r="N17" s="53"/>
      <c r="O17" s="53"/>
      <c r="Q17" s="75" t="s">
        <v>4</v>
      </c>
      <c r="R17" s="75" t="s">
        <v>4</v>
      </c>
      <c r="S17" s="53" t="s">
        <v>4</v>
      </c>
      <c r="T17" s="53" t="s">
        <v>4</v>
      </c>
      <c r="U17" s="53" t="s">
        <v>4</v>
      </c>
      <c r="V17" s="75" t="s">
        <v>4</v>
      </c>
      <c r="W17" s="75" t="s">
        <v>4</v>
      </c>
      <c r="X17" s="53" t="s">
        <v>4</v>
      </c>
      <c r="Y17" s="53" t="s">
        <v>4</v>
      </c>
      <c r="Z17" s="53" t="s">
        <v>4</v>
      </c>
    </row>
    <row r="18" spans="3:26" ht="12.75">
      <c r="C18" s="1"/>
      <c r="D18" s="1"/>
      <c r="E18" s="1"/>
      <c r="F18" s="1"/>
      <c r="G18" s="1"/>
      <c r="H18" s="1"/>
      <c r="I18" s="1"/>
      <c r="J18" s="57"/>
      <c r="K18" s="43"/>
      <c r="L18" s="1"/>
      <c r="M18" s="1"/>
      <c r="N18" s="1"/>
      <c r="O18" s="1"/>
      <c r="Q18" s="43"/>
      <c r="R18" s="43"/>
      <c r="S18" s="1"/>
      <c r="U18" s="1"/>
      <c r="V18" s="43"/>
      <c r="W18" s="43"/>
      <c r="X18" s="1"/>
      <c r="Z18" s="1"/>
    </row>
    <row r="19" spans="1:27" ht="12.75">
      <c r="A19" s="24"/>
      <c r="C19" s="2" t="s">
        <v>105</v>
      </c>
      <c r="D19" s="1"/>
      <c r="E19" s="1"/>
      <c r="F19" s="1"/>
      <c r="G19" s="58">
        <f>+K19-U19</f>
        <v>11723</v>
      </c>
      <c r="H19" s="57"/>
      <c r="I19" s="25">
        <v>17567</v>
      </c>
      <c r="J19" s="57"/>
      <c r="K19" s="58">
        <v>20633</v>
      </c>
      <c r="L19" s="57"/>
      <c r="M19" s="58">
        <f>SUM(Y19:Z19)</f>
        <v>29545.835</v>
      </c>
      <c r="N19" s="44"/>
      <c r="O19" s="44"/>
      <c r="P19" s="30"/>
      <c r="Q19" s="25">
        <f>SUM(T19:U19)</f>
        <v>20633</v>
      </c>
      <c r="R19" s="58"/>
      <c r="S19" s="58"/>
      <c r="T19" s="25">
        <v>11723</v>
      </c>
      <c r="U19" s="58">
        <v>8910</v>
      </c>
      <c r="V19" s="44">
        <f>59619.461</f>
        <v>59619.461</v>
      </c>
      <c r="W19" s="58">
        <v>12135</v>
      </c>
      <c r="X19" s="58">
        <v>17938</v>
      </c>
      <c r="Y19" s="25">
        <v>17567</v>
      </c>
      <c r="Z19" s="58">
        <v>11978.835</v>
      </c>
      <c r="AA19" s="25">
        <f>SUM(W19:Z19)</f>
        <v>59618.835</v>
      </c>
    </row>
    <row r="20" spans="1:26" ht="13.5">
      <c r="A20" s="24"/>
      <c r="C20" s="59"/>
      <c r="D20" s="1"/>
      <c r="E20" s="1"/>
      <c r="F20" s="1"/>
      <c r="G20" s="58"/>
      <c r="H20" s="57"/>
      <c r="J20" s="57"/>
      <c r="K20" s="58"/>
      <c r="L20" s="57"/>
      <c r="M20" s="58"/>
      <c r="N20" s="44"/>
      <c r="O20" s="44"/>
      <c r="P20" s="30"/>
      <c r="R20" s="58"/>
      <c r="S20" s="58"/>
      <c r="U20" s="58"/>
      <c r="V20" s="44"/>
      <c r="W20" s="58"/>
      <c r="X20" s="58"/>
      <c r="Z20" s="58"/>
    </row>
    <row r="21" spans="1:27" ht="13.5">
      <c r="A21" s="24"/>
      <c r="C21" s="13" t="s">
        <v>85</v>
      </c>
      <c r="D21" s="1"/>
      <c r="E21" s="1"/>
      <c r="F21" s="1"/>
      <c r="G21" s="58">
        <f>+K21-U21</f>
        <v>-13871.080000000002</v>
      </c>
      <c r="H21" s="57"/>
      <c r="I21" s="25">
        <v>-18988</v>
      </c>
      <c r="J21" s="57"/>
      <c r="K21" s="58">
        <f>-25475.08</f>
        <v>-25475.08</v>
      </c>
      <c r="L21" s="57"/>
      <c r="M21" s="58">
        <f>SUM(Y21:Z21)</f>
        <v>-34599.16</v>
      </c>
      <c r="N21" s="44"/>
      <c r="O21" s="44"/>
      <c r="P21" s="30"/>
      <c r="Q21" s="25">
        <f>SUM(T21:U21)</f>
        <v>-25475.1</v>
      </c>
      <c r="R21" s="58"/>
      <c r="S21" s="93"/>
      <c r="T21" s="25">
        <f>-13871.1</f>
        <v>-13871.1</v>
      </c>
      <c r="U21" s="58">
        <v>-11604</v>
      </c>
      <c r="V21" s="58">
        <f>-70498.919</f>
        <v>-70498.919</v>
      </c>
      <c r="W21" s="58">
        <v>-15911</v>
      </c>
      <c r="X21" s="58">
        <v>-19988.4</v>
      </c>
      <c r="Y21" s="25">
        <v>-18988</v>
      </c>
      <c r="Z21" s="58">
        <f>-15604.069-7.091</f>
        <v>-15611.16</v>
      </c>
      <c r="AA21" s="25">
        <f>SUM(W21:Z21)</f>
        <v>-70498.56</v>
      </c>
    </row>
    <row r="22" spans="1:26" ht="13.5">
      <c r="A22" s="24"/>
      <c r="C22" s="59"/>
      <c r="D22" s="1"/>
      <c r="E22" s="1"/>
      <c r="F22" s="1"/>
      <c r="G22" s="58"/>
      <c r="H22" s="57"/>
      <c r="J22" s="57"/>
      <c r="K22" s="58"/>
      <c r="L22" s="57"/>
      <c r="M22" s="58"/>
      <c r="N22" s="44"/>
      <c r="O22" s="44"/>
      <c r="P22" s="30"/>
      <c r="Q22" s="58"/>
      <c r="R22" s="58"/>
      <c r="S22" s="93"/>
      <c r="T22" s="58"/>
      <c r="U22" s="58"/>
      <c r="V22" s="44"/>
      <c r="W22" s="58"/>
      <c r="X22" s="58"/>
      <c r="Z22" s="58"/>
    </row>
    <row r="23" spans="3:27" ht="13.5">
      <c r="C23" s="13" t="s">
        <v>86</v>
      </c>
      <c r="D23" s="1"/>
      <c r="E23" s="1"/>
      <c r="F23" s="1"/>
      <c r="G23" s="58">
        <f>+K23-U23</f>
        <v>284.74</v>
      </c>
      <c r="H23" s="1"/>
      <c r="I23" s="25">
        <v>417</v>
      </c>
      <c r="J23" s="57"/>
      <c r="K23" s="58">
        <v>670.74</v>
      </c>
      <c r="L23" s="1"/>
      <c r="M23" s="58">
        <f>SUM(Y23:Z23)</f>
        <v>963.553</v>
      </c>
      <c r="N23" s="44"/>
      <c r="O23" s="44"/>
      <c r="P23" s="18"/>
      <c r="Q23" s="25">
        <f>SUM(T23:U23)</f>
        <v>670.7</v>
      </c>
      <c r="R23" s="58"/>
      <c r="S23" s="93"/>
      <c r="T23" s="25">
        <v>284.7</v>
      </c>
      <c r="U23" s="58">
        <v>386</v>
      </c>
      <c r="V23" s="43">
        <v>1737.83</v>
      </c>
      <c r="W23" s="58">
        <v>345</v>
      </c>
      <c r="X23" s="58">
        <v>429</v>
      </c>
      <c r="Y23" s="25">
        <v>417</v>
      </c>
      <c r="Z23" s="60">
        <v>546.553</v>
      </c>
      <c r="AA23" s="25">
        <f>SUM(W23:Z23)</f>
        <v>1737.5529999999999</v>
      </c>
    </row>
    <row r="24" spans="3:26" ht="12.75">
      <c r="C24" s="1"/>
      <c r="D24" s="1"/>
      <c r="E24" s="1"/>
      <c r="F24" s="1"/>
      <c r="G24" s="58"/>
      <c r="H24" s="57"/>
      <c r="J24" s="57"/>
      <c r="K24" s="57"/>
      <c r="L24" s="57"/>
      <c r="M24" s="57"/>
      <c r="N24" s="44"/>
      <c r="O24" s="44"/>
      <c r="P24" s="18"/>
      <c r="Q24" s="57"/>
      <c r="R24" s="57"/>
      <c r="S24" s="93"/>
      <c r="T24" s="57"/>
      <c r="U24" s="57"/>
      <c r="V24" s="44"/>
      <c r="W24" s="57"/>
      <c r="X24" s="57"/>
      <c r="Z24" s="57"/>
    </row>
    <row r="25" spans="3:27" ht="12.75">
      <c r="C25" s="1"/>
      <c r="D25" s="1"/>
      <c r="E25" s="1"/>
      <c r="F25" s="1"/>
      <c r="G25" s="61"/>
      <c r="H25" s="57"/>
      <c r="I25" s="83"/>
      <c r="J25" s="57"/>
      <c r="K25" s="61"/>
      <c r="L25" s="57"/>
      <c r="M25" s="61"/>
      <c r="N25" s="44"/>
      <c r="O25" s="44"/>
      <c r="P25" s="18"/>
      <c r="Q25" s="61"/>
      <c r="R25" s="61"/>
      <c r="S25" s="93"/>
      <c r="T25" s="61"/>
      <c r="U25" s="61"/>
      <c r="V25" s="62"/>
      <c r="W25" s="61"/>
      <c r="X25" s="61"/>
      <c r="Y25" s="83"/>
      <c r="Z25" s="61"/>
      <c r="AA25" s="83"/>
    </row>
    <row r="26" spans="1:28" ht="12.75">
      <c r="A26" s="24"/>
      <c r="C26" s="1" t="s">
        <v>90</v>
      </c>
      <c r="D26" s="1"/>
      <c r="E26" s="1"/>
      <c r="F26" s="1"/>
      <c r="G26" s="63">
        <f>SUM(G19:G25)</f>
        <v>-1863.3400000000017</v>
      </c>
      <c r="H26" s="1"/>
      <c r="I26" s="63">
        <v>-1003</v>
      </c>
      <c r="J26" s="57"/>
      <c r="K26" s="63">
        <f>SUM(K19:K25)</f>
        <v>-4171.340000000002</v>
      </c>
      <c r="L26" s="1"/>
      <c r="M26" s="63">
        <f>SUM(M19:M25)+0.5</f>
        <v>-4089.2720000000045</v>
      </c>
      <c r="N26" s="44"/>
      <c r="O26" s="44"/>
      <c r="P26" s="18"/>
      <c r="Q26" s="63">
        <f>SUM(Q19:Q25)</f>
        <v>-4171.399999999999</v>
      </c>
      <c r="R26" s="63"/>
      <c r="S26" s="93"/>
      <c r="T26" s="63">
        <f>SUM(T19:T25)</f>
        <v>-1863.4000000000003</v>
      </c>
      <c r="U26" s="63">
        <f>SUM(U19:U25)</f>
        <v>-2308</v>
      </c>
      <c r="V26" s="63">
        <f>SUM(V19:V25)</f>
        <v>-9141.627999999992</v>
      </c>
      <c r="W26" s="63">
        <f>SUM(W19:W25)</f>
        <v>-3431</v>
      </c>
      <c r="X26" s="63">
        <f>SUM(X19:X25)</f>
        <v>-1621.4000000000015</v>
      </c>
      <c r="Y26" s="63">
        <v>-1003</v>
      </c>
      <c r="Z26" s="63">
        <f>SUM(Z19:Z25)</f>
        <v>-3085.772000000001</v>
      </c>
      <c r="AA26" s="25">
        <f>SUM(W26:Z26)</f>
        <v>-9141.172000000002</v>
      </c>
      <c r="AB26" s="25"/>
    </row>
    <row r="27" spans="1:26" ht="12.75">
      <c r="A27" s="24"/>
      <c r="C27" s="1"/>
      <c r="D27" s="1"/>
      <c r="E27" s="1"/>
      <c r="F27" s="1"/>
      <c r="G27" s="63"/>
      <c r="H27" s="1"/>
      <c r="I27" s="63"/>
      <c r="J27" s="57"/>
      <c r="K27" s="63"/>
      <c r="L27" s="1"/>
      <c r="M27" s="63"/>
      <c r="N27" s="43"/>
      <c r="O27" s="43"/>
      <c r="P27" s="18"/>
      <c r="Q27" s="63"/>
      <c r="R27" s="63"/>
      <c r="S27" s="93"/>
      <c r="T27" s="63"/>
      <c r="U27" s="63"/>
      <c r="V27" s="43"/>
      <c r="W27" s="63"/>
      <c r="X27" s="63"/>
      <c r="Y27" s="63"/>
      <c r="Z27" s="63"/>
    </row>
    <row r="28" spans="3:26" ht="12.75">
      <c r="C28" s="1"/>
      <c r="D28" s="1"/>
      <c r="E28" s="1"/>
      <c r="F28" s="1"/>
      <c r="G28" s="63"/>
      <c r="H28" s="1"/>
      <c r="I28" s="1"/>
      <c r="J28" s="57"/>
      <c r="K28" s="1"/>
      <c r="L28" s="1"/>
      <c r="M28" s="1"/>
      <c r="N28" s="43"/>
      <c r="O28" s="43"/>
      <c r="P28" s="18"/>
      <c r="Q28" s="1"/>
      <c r="R28" s="1"/>
      <c r="S28" s="93"/>
      <c r="T28" s="1"/>
      <c r="U28" s="1"/>
      <c r="V28" s="43"/>
      <c r="W28" s="1"/>
      <c r="X28" s="1"/>
      <c r="Y28" s="1"/>
      <c r="Z28" s="1"/>
    </row>
    <row r="29" spans="1:27" ht="12.75">
      <c r="A29" s="24"/>
      <c r="C29" s="2" t="s">
        <v>87</v>
      </c>
      <c r="D29" s="1"/>
      <c r="E29" s="1"/>
      <c r="F29" s="1"/>
      <c r="G29" s="58">
        <f>+K29-U29</f>
        <v>-1075.9</v>
      </c>
      <c r="H29" s="1"/>
      <c r="I29" s="63">
        <v>-1141</v>
      </c>
      <c r="J29" s="57"/>
      <c r="K29" s="58">
        <v>-2006.9</v>
      </c>
      <c r="L29" s="1"/>
      <c r="M29" s="58">
        <f>SUM(Y29:Z29)</f>
        <v>-2305.0190000000002</v>
      </c>
      <c r="N29" s="44"/>
      <c r="O29" s="44"/>
      <c r="P29" s="18"/>
      <c r="Q29" s="25">
        <f>SUM(T29:U29)</f>
        <v>-2006.9</v>
      </c>
      <c r="R29" s="58"/>
      <c r="S29" s="93"/>
      <c r="T29" s="25">
        <v>-1075.9</v>
      </c>
      <c r="U29" s="58">
        <v>-931</v>
      </c>
      <c r="V29" s="43">
        <f>-4711.265</f>
        <v>-4711.265</v>
      </c>
      <c r="W29" s="58">
        <v>-1585</v>
      </c>
      <c r="X29" s="58">
        <v>-821.45</v>
      </c>
      <c r="Y29" s="63">
        <v>-1141</v>
      </c>
      <c r="Z29" s="63">
        <v>-1164.019</v>
      </c>
      <c r="AA29" s="25">
        <f>SUM(W29:Z29)</f>
        <v>-4711.469</v>
      </c>
    </row>
    <row r="30" spans="3:26" ht="12.75">
      <c r="C30" s="2"/>
      <c r="D30" s="1"/>
      <c r="E30" s="1"/>
      <c r="F30" s="1"/>
      <c r="G30" s="63"/>
      <c r="H30" s="1"/>
      <c r="I30" s="63">
        <v>0</v>
      </c>
      <c r="J30" s="57"/>
      <c r="K30" s="63"/>
      <c r="L30" s="1"/>
      <c r="M30" s="58">
        <f>SUM(Y30:Z30)</f>
        <v>0</v>
      </c>
      <c r="N30" s="43"/>
      <c r="O30" s="43"/>
      <c r="P30" s="18"/>
      <c r="Q30" s="63"/>
      <c r="R30" s="63"/>
      <c r="S30" s="93"/>
      <c r="T30" s="63"/>
      <c r="U30" s="58">
        <f>+G30</f>
        <v>0</v>
      </c>
      <c r="V30" s="43"/>
      <c r="W30" s="63"/>
      <c r="X30" s="63"/>
      <c r="Y30" s="63">
        <v>0</v>
      </c>
      <c r="Z30" s="63">
        <v>0</v>
      </c>
    </row>
    <row r="31" spans="3:27" ht="12.75">
      <c r="C31" s="2" t="s">
        <v>107</v>
      </c>
      <c r="D31" s="1"/>
      <c r="E31" s="1"/>
      <c r="F31" s="1"/>
      <c r="G31" s="63"/>
      <c r="H31" s="1"/>
      <c r="I31" s="63"/>
      <c r="J31" s="57"/>
      <c r="K31" s="63"/>
      <c r="L31" s="1"/>
      <c r="M31" s="63"/>
      <c r="N31" s="44"/>
      <c r="O31" s="44"/>
      <c r="P31" s="18"/>
      <c r="Q31" s="25">
        <f>SUM(T31:U31)</f>
        <v>0</v>
      </c>
      <c r="R31" s="63"/>
      <c r="S31" s="93"/>
      <c r="T31" s="63"/>
      <c r="U31" s="63"/>
      <c r="V31" s="43"/>
      <c r="W31" s="63"/>
      <c r="X31" s="63"/>
      <c r="Y31" s="63"/>
      <c r="Z31" s="63"/>
      <c r="AA31" s="25">
        <f>SUM(W31:Z31)</f>
        <v>0</v>
      </c>
    </row>
    <row r="32" spans="3:26" ht="12.75">
      <c r="C32" s="2"/>
      <c r="D32" s="1"/>
      <c r="E32" s="1"/>
      <c r="F32" s="1"/>
      <c r="G32" s="63"/>
      <c r="H32" s="1"/>
      <c r="I32" s="63"/>
      <c r="J32" s="57"/>
      <c r="K32" s="63"/>
      <c r="L32" s="1"/>
      <c r="M32" s="63"/>
      <c r="N32" s="43"/>
      <c r="O32" s="43"/>
      <c r="P32" s="18"/>
      <c r="Q32" s="63"/>
      <c r="R32" s="63"/>
      <c r="S32" s="93"/>
      <c r="T32" s="63"/>
      <c r="U32" s="63"/>
      <c r="V32" s="43"/>
      <c r="W32" s="63"/>
      <c r="X32" s="63"/>
      <c r="Y32" s="63"/>
      <c r="Z32" s="63"/>
    </row>
    <row r="33" spans="3:26" ht="12.75">
      <c r="C33" s="2" t="s">
        <v>88</v>
      </c>
      <c r="D33" s="1"/>
      <c r="E33" s="1"/>
      <c r="F33" s="1"/>
      <c r="G33" s="63"/>
      <c r="H33" s="1"/>
      <c r="I33" s="63"/>
      <c r="J33" s="57"/>
      <c r="K33" s="63"/>
      <c r="L33" s="1"/>
      <c r="M33" s="63"/>
      <c r="N33" s="43"/>
      <c r="O33" s="43"/>
      <c r="P33" s="18"/>
      <c r="Q33" s="25">
        <f>SUM(T33:U33)</f>
        <v>0</v>
      </c>
      <c r="R33" s="63"/>
      <c r="S33" s="93"/>
      <c r="T33" s="63"/>
      <c r="U33" s="63"/>
      <c r="V33" s="43"/>
      <c r="W33" s="63"/>
      <c r="X33" s="63"/>
      <c r="Y33" s="63"/>
      <c r="Z33" s="63"/>
    </row>
    <row r="34" spans="1:27" ht="12.75">
      <c r="A34" s="24"/>
      <c r="C34" s="1"/>
      <c r="D34" s="2" t="s">
        <v>89</v>
      </c>
      <c r="E34" s="1"/>
      <c r="F34" s="1"/>
      <c r="G34" s="61">
        <v>0</v>
      </c>
      <c r="H34" s="64"/>
      <c r="I34" s="61">
        <v>0</v>
      </c>
      <c r="J34" s="57"/>
      <c r="K34" s="61">
        <v>0</v>
      </c>
      <c r="L34" s="64"/>
      <c r="M34" s="61">
        <f>SUM(Y34:Z34)</f>
        <v>0</v>
      </c>
      <c r="N34" s="44"/>
      <c r="O34" s="44"/>
      <c r="P34" s="18"/>
      <c r="Q34" s="84">
        <f>SUM(T34:U34)</f>
        <v>0</v>
      </c>
      <c r="R34" s="61"/>
      <c r="S34" s="94"/>
      <c r="T34" s="84">
        <f>+G34</f>
        <v>0</v>
      </c>
      <c r="U34" s="61">
        <f>+G34</f>
        <v>0</v>
      </c>
      <c r="V34" s="62">
        <f>+R34</f>
        <v>0</v>
      </c>
      <c r="W34" s="61">
        <v>0</v>
      </c>
      <c r="X34" s="61">
        <v>0</v>
      </c>
      <c r="Y34" s="61">
        <v>0</v>
      </c>
      <c r="Z34" s="61">
        <v>0</v>
      </c>
      <c r="AA34" s="84">
        <f>SUM(W34:Z34)</f>
        <v>0</v>
      </c>
    </row>
    <row r="35" spans="1:26" ht="12.75">
      <c r="A35" s="24"/>
      <c r="C35" s="2"/>
      <c r="D35" s="1"/>
      <c r="E35" s="1"/>
      <c r="F35" s="1"/>
      <c r="G35" s="58"/>
      <c r="H35" s="57"/>
      <c r="I35" s="58"/>
      <c r="J35" s="57"/>
      <c r="K35" s="58"/>
      <c r="L35" s="57"/>
      <c r="M35" s="58"/>
      <c r="N35" s="44"/>
      <c r="O35" s="44"/>
      <c r="P35" s="18"/>
      <c r="Q35" s="58"/>
      <c r="R35" s="58"/>
      <c r="S35" s="93"/>
      <c r="T35" s="58"/>
      <c r="U35" s="58"/>
      <c r="V35" s="44"/>
      <c r="W35" s="58"/>
      <c r="X35" s="58"/>
      <c r="Y35" s="58"/>
      <c r="Z35" s="58"/>
    </row>
    <row r="36" spans="3:28" ht="13.5">
      <c r="C36" s="59" t="s">
        <v>91</v>
      </c>
      <c r="D36" s="1"/>
      <c r="E36" s="1"/>
      <c r="F36" s="1"/>
      <c r="G36" s="43">
        <f>+G26+G29+G34</f>
        <v>-2939.2400000000016</v>
      </c>
      <c r="H36" s="1"/>
      <c r="I36" s="43">
        <f>+I26+I29+I34</f>
        <v>-2144</v>
      </c>
      <c r="J36" s="57"/>
      <c r="K36" s="43">
        <f>+K26+K29+K34</f>
        <v>-6178.240000000002</v>
      </c>
      <c r="L36" s="1"/>
      <c r="M36" s="43">
        <f>+M26+M29+M34</f>
        <v>-6394.291000000005</v>
      </c>
      <c r="N36" s="43"/>
      <c r="O36" s="43"/>
      <c r="Q36" s="43">
        <f>+Q26+Q29+Q34</f>
        <v>-6178.299999999999</v>
      </c>
      <c r="R36" s="43"/>
      <c r="S36" s="93"/>
      <c r="T36" s="43">
        <f>+T26+T29+T34</f>
        <v>-2939.3</v>
      </c>
      <c r="U36" s="43">
        <f aca="true" t="shared" si="0" ref="U36:Z36">+U26+U29+U34</f>
        <v>-3239</v>
      </c>
      <c r="V36" s="43">
        <f t="shared" si="0"/>
        <v>-13852.892999999993</v>
      </c>
      <c r="W36" s="43">
        <f t="shared" si="0"/>
        <v>-5016</v>
      </c>
      <c r="X36" s="43">
        <f t="shared" si="0"/>
        <v>-2442.8500000000013</v>
      </c>
      <c r="Y36" s="43">
        <f t="shared" si="0"/>
        <v>-2144</v>
      </c>
      <c r="Z36" s="43">
        <f t="shared" si="0"/>
        <v>-4249.791000000001</v>
      </c>
      <c r="AA36" s="43">
        <f>+AA26+AA29+AA34+AA31</f>
        <v>-13852.641000000003</v>
      </c>
      <c r="AB36" s="25"/>
    </row>
    <row r="37" spans="3:27" ht="13.5">
      <c r="C37" s="59"/>
      <c r="D37" s="1"/>
      <c r="E37" s="1"/>
      <c r="F37" s="1"/>
      <c r="G37" s="43"/>
      <c r="H37" s="1"/>
      <c r="I37" s="43"/>
      <c r="J37" s="57"/>
      <c r="K37" s="43"/>
      <c r="L37" s="1"/>
      <c r="M37" s="43"/>
      <c r="N37" s="43"/>
      <c r="O37" s="43"/>
      <c r="Q37" s="43"/>
      <c r="R37" s="43"/>
      <c r="S37" s="93"/>
      <c r="T37" s="43"/>
      <c r="U37" s="43"/>
      <c r="V37" s="43"/>
      <c r="W37" s="43"/>
      <c r="X37" s="43"/>
      <c r="Y37" s="43"/>
      <c r="Z37" s="43"/>
      <c r="AA37" s="43"/>
    </row>
    <row r="38" spans="3:27" ht="12.75">
      <c r="C38" s="2" t="s">
        <v>92</v>
      </c>
      <c r="D38" s="1"/>
      <c r="E38" s="1"/>
      <c r="F38" s="1"/>
      <c r="G38" s="61">
        <f>+K38-U38</f>
        <v>-14.5</v>
      </c>
      <c r="H38" s="64"/>
      <c r="I38" s="65">
        <v>0</v>
      </c>
      <c r="J38" s="57"/>
      <c r="K38" s="61">
        <f>-24.5</f>
        <v>-24.5</v>
      </c>
      <c r="L38" s="64"/>
      <c r="M38" s="61">
        <f>SUM(Y38:Z38)</f>
        <v>0</v>
      </c>
      <c r="N38" s="44"/>
      <c r="O38" s="44"/>
      <c r="Q38" s="84">
        <f>SUM(T38:U38)</f>
        <v>-24.5</v>
      </c>
      <c r="R38" s="61"/>
      <c r="S38" s="94"/>
      <c r="T38" s="84">
        <v>-14.5</v>
      </c>
      <c r="U38" s="61">
        <v>-10</v>
      </c>
      <c r="V38" s="62">
        <f>-4.101</f>
        <v>-4.101</v>
      </c>
      <c r="W38" s="61">
        <v>-4</v>
      </c>
      <c r="X38" s="65">
        <v>0</v>
      </c>
      <c r="Y38" s="65">
        <v>0</v>
      </c>
      <c r="Z38" s="65">
        <v>0</v>
      </c>
      <c r="AA38" s="62">
        <v>-2</v>
      </c>
    </row>
    <row r="39" spans="3:26" ht="12.75">
      <c r="C39" s="2"/>
      <c r="D39" s="1"/>
      <c r="E39" s="1"/>
      <c r="F39" s="1"/>
      <c r="G39" s="58"/>
      <c r="H39" s="57"/>
      <c r="I39" s="66"/>
      <c r="J39" s="57"/>
      <c r="K39" s="66"/>
      <c r="L39" s="57"/>
      <c r="M39" s="66"/>
      <c r="N39" s="67"/>
      <c r="O39" s="67"/>
      <c r="Q39" s="66"/>
      <c r="R39" s="66"/>
      <c r="S39" s="93"/>
      <c r="T39" s="66"/>
      <c r="U39" s="66"/>
      <c r="V39" s="44"/>
      <c r="W39" s="66"/>
      <c r="X39" s="66"/>
      <c r="Y39" s="66"/>
      <c r="Z39" s="66"/>
    </row>
    <row r="40" spans="3:27" ht="13.5">
      <c r="C40" s="59" t="s">
        <v>93</v>
      </c>
      <c r="D40" s="1"/>
      <c r="E40" s="1"/>
      <c r="F40" s="1"/>
      <c r="G40" s="43">
        <f>+G36+G38</f>
        <v>-2953.7400000000016</v>
      </c>
      <c r="H40" s="1"/>
      <c r="I40" s="43">
        <f>+I36+I38</f>
        <v>-2144</v>
      </c>
      <c r="J40" s="57"/>
      <c r="K40" s="43">
        <f>+K36+K38</f>
        <v>-6202.740000000002</v>
      </c>
      <c r="L40" s="1"/>
      <c r="M40" s="43">
        <f>+M36+M38</f>
        <v>-6394.291000000005</v>
      </c>
      <c r="N40" s="43"/>
      <c r="O40" s="43"/>
      <c r="Q40" s="43">
        <f>+Q36+Q38</f>
        <v>-6202.799999999999</v>
      </c>
      <c r="R40" s="43"/>
      <c r="S40" s="96"/>
      <c r="T40" s="43">
        <f>+T36+T38</f>
        <v>-2953.8</v>
      </c>
      <c r="U40" s="43">
        <f aca="true" t="shared" si="1" ref="U40:AA40">+U36+U38</f>
        <v>-3249</v>
      </c>
      <c r="V40" s="43">
        <f t="shared" si="1"/>
        <v>-13856.993999999993</v>
      </c>
      <c r="W40" s="43">
        <f t="shared" si="1"/>
        <v>-5020</v>
      </c>
      <c r="X40" s="43">
        <f t="shared" si="1"/>
        <v>-2442.8500000000013</v>
      </c>
      <c r="Y40" s="43">
        <f t="shared" si="1"/>
        <v>-2144</v>
      </c>
      <c r="Z40" s="43">
        <f t="shared" si="1"/>
        <v>-4249.791000000001</v>
      </c>
      <c r="AA40" s="43">
        <f t="shared" si="1"/>
        <v>-13854.641000000003</v>
      </c>
    </row>
    <row r="41" spans="3:26" ht="12.75">
      <c r="C41" s="1"/>
      <c r="D41" s="1"/>
      <c r="E41" s="1"/>
      <c r="F41" s="1"/>
      <c r="G41" s="63"/>
      <c r="H41" s="1"/>
      <c r="I41" s="1"/>
      <c r="J41" s="57"/>
      <c r="K41" s="1"/>
      <c r="L41" s="1"/>
      <c r="M41" s="1"/>
      <c r="N41" s="1"/>
      <c r="O41" s="1"/>
      <c r="Q41" s="1"/>
      <c r="R41" s="1"/>
      <c r="S41" s="95"/>
      <c r="T41" s="1"/>
      <c r="U41" s="1"/>
      <c r="V41" s="43"/>
      <c r="W41" s="1"/>
      <c r="X41" s="1"/>
      <c r="Y41" s="1"/>
      <c r="Z41" s="1"/>
    </row>
    <row r="42" spans="3:27" ht="12.75">
      <c r="C42" s="2" t="s">
        <v>95</v>
      </c>
      <c r="D42" s="1"/>
      <c r="E42" s="1"/>
      <c r="F42" s="1"/>
      <c r="G42" s="58">
        <f>+K42-U42</f>
        <v>5</v>
      </c>
      <c r="H42" s="57"/>
      <c r="I42" s="58">
        <v>-2</v>
      </c>
      <c r="J42" s="57"/>
      <c r="K42" s="58">
        <v>6</v>
      </c>
      <c r="L42" s="57"/>
      <c r="M42" s="58">
        <f>SUM(Y42:Z42)</f>
        <v>-2.537</v>
      </c>
      <c r="N42" s="44"/>
      <c r="O42" s="44"/>
      <c r="Q42" s="25">
        <f>SUM(T42:U42)</f>
        <v>6</v>
      </c>
      <c r="R42" s="58"/>
      <c r="S42" s="93"/>
      <c r="T42" s="25">
        <v>5</v>
      </c>
      <c r="U42" s="58">
        <v>1</v>
      </c>
      <c r="V42" s="44">
        <v>-14</v>
      </c>
      <c r="W42" s="58">
        <v>4</v>
      </c>
      <c r="X42" s="58">
        <v>-15</v>
      </c>
      <c r="Y42" s="58">
        <v>-2</v>
      </c>
      <c r="Z42" s="58">
        <v>-0.537</v>
      </c>
      <c r="AA42" s="17">
        <v>40</v>
      </c>
    </row>
    <row r="43" spans="3:26" ht="12.75">
      <c r="C43" s="2"/>
      <c r="D43" s="1"/>
      <c r="E43" s="1"/>
      <c r="F43" s="1"/>
      <c r="G43" s="58"/>
      <c r="H43" s="57"/>
      <c r="I43" s="58"/>
      <c r="J43" s="57"/>
      <c r="K43" s="58"/>
      <c r="L43" s="57"/>
      <c r="M43" s="58"/>
      <c r="N43" s="44"/>
      <c r="O43" s="44"/>
      <c r="Q43" s="58"/>
      <c r="R43" s="58"/>
      <c r="S43" s="58"/>
      <c r="T43" s="58"/>
      <c r="U43" s="58"/>
      <c r="V43" s="44"/>
      <c r="W43" s="58"/>
      <c r="X43" s="58"/>
      <c r="Y43" s="58"/>
      <c r="Z43" s="58"/>
    </row>
    <row r="44" spans="3:27" ht="13.5" thickBot="1">
      <c r="C44" s="1" t="s">
        <v>94</v>
      </c>
      <c r="D44" s="1"/>
      <c r="E44" s="1"/>
      <c r="F44" s="1"/>
      <c r="G44" s="68">
        <f>+G40+G42</f>
        <v>-2948.7400000000016</v>
      </c>
      <c r="H44" s="68"/>
      <c r="I44" s="68">
        <f>+I40+I42</f>
        <v>-2146</v>
      </c>
      <c r="J44" s="57"/>
      <c r="K44" s="68">
        <f>+K40+K42</f>
        <v>-6196.740000000002</v>
      </c>
      <c r="L44" s="69"/>
      <c r="M44" s="68">
        <f>+M40+M42</f>
        <v>-6396.828000000005</v>
      </c>
      <c r="N44" s="44"/>
      <c r="O44" s="44"/>
      <c r="Q44" s="68">
        <f>+Q40+Q42</f>
        <v>-6196.799999999999</v>
      </c>
      <c r="R44" s="68"/>
      <c r="S44" s="68"/>
      <c r="T44" s="68">
        <f>+T40+T42</f>
        <v>-2948.8</v>
      </c>
      <c r="U44" s="68">
        <f aca="true" t="shared" si="2" ref="U44:AA44">+U40+U42</f>
        <v>-3248</v>
      </c>
      <c r="V44" s="68">
        <f t="shared" si="2"/>
        <v>-13870.993999999993</v>
      </c>
      <c r="W44" s="68">
        <f t="shared" si="2"/>
        <v>-5016</v>
      </c>
      <c r="X44" s="68">
        <f t="shared" si="2"/>
        <v>-2457.8500000000013</v>
      </c>
      <c r="Y44" s="68">
        <f t="shared" si="2"/>
        <v>-2146</v>
      </c>
      <c r="Z44" s="68">
        <f t="shared" si="2"/>
        <v>-4250.328000000001</v>
      </c>
      <c r="AA44" s="68">
        <f t="shared" si="2"/>
        <v>-13814.641000000003</v>
      </c>
    </row>
    <row r="45" spans="3:27" ht="13.5" thickTop="1">
      <c r="C45" s="1"/>
      <c r="D45" s="1"/>
      <c r="E45" s="1"/>
      <c r="F45" s="1"/>
      <c r="G45" s="95"/>
      <c r="H45" s="1"/>
      <c r="I45" s="1"/>
      <c r="J45" s="57"/>
      <c r="K45" s="1"/>
      <c r="L45" s="1"/>
      <c r="M45" s="1"/>
      <c r="N45" s="1"/>
      <c r="O45" s="1"/>
      <c r="Q45" s="1"/>
      <c r="R45" s="1"/>
      <c r="S45" s="1"/>
      <c r="T45" s="1"/>
      <c r="U45" s="1"/>
      <c r="V45" s="43"/>
      <c r="W45" s="1"/>
      <c r="X45" s="1"/>
      <c r="Y45" s="1"/>
      <c r="Z45" s="1"/>
      <c r="AA45" s="25"/>
    </row>
    <row r="46" spans="3:26" ht="12.75">
      <c r="C46" s="1"/>
      <c r="D46" s="1"/>
      <c r="E46" s="1"/>
      <c r="F46" s="1"/>
      <c r="G46" s="1"/>
      <c r="H46" s="1"/>
      <c r="I46" s="1"/>
      <c r="J46" s="57"/>
      <c r="K46" s="1"/>
      <c r="L46" s="1"/>
      <c r="M46" s="1"/>
      <c r="N46" s="1"/>
      <c r="O46" s="1"/>
      <c r="Q46" s="1"/>
      <c r="R46" s="1"/>
      <c r="S46" s="1"/>
      <c r="T46" s="1"/>
      <c r="U46" s="1"/>
      <c r="V46" s="43"/>
      <c r="W46" s="1"/>
      <c r="X46" s="1"/>
      <c r="Y46" s="1"/>
      <c r="Z46" s="1"/>
    </row>
    <row r="47" spans="3:27" ht="13.5" thickBot="1">
      <c r="C47" s="1" t="s">
        <v>21</v>
      </c>
      <c r="D47" s="70" t="s">
        <v>22</v>
      </c>
      <c r="E47" s="1"/>
      <c r="F47" s="1"/>
      <c r="G47" s="71">
        <f>G44/82330.811*100</f>
        <v>-3.581575310851731</v>
      </c>
      <c r="H47" s="72"/>
      <c r="I47" s="71">
        <f>I44/82330.811*100</f>
        <v>-2.606557586320873</v>
      </c>
      <c r="J47" s="57"/>
      <c r="K47" s="71">
        <f>K44/82330.811*100</f>
        <v>-7.526635441499539</v>
      </c>
      <c r="L47" s="72"/>
      <c r="M47" s="71">
        <f>M44/82330.811*100</f>
        <v>-7.769664749203072</v>
      </c>
      <c r="N47" s="66"/>
      <c r="O47" s="66"/>
      <c r="Q47" s="71">
        <f>Q44/82330.811*100</f>
        <v>-7.526708318226088</v>
      </c>
      <c r="R47" s="71"/>
      <c r="S47" s="71"/>
      <c r="T47" s="71">
        <f aca="true" t="shared" si="3" ref="T47:Y47">T44/82330.811*100</f>
        <v>-3.5816481875782813</v>
      </c>
      <c r="U47" s="71">
        <f t="shared" si="3"/>
        <v>-3.945060130647808</v>
      </c>
      <c r="V47" s="71">
        <f t="shared" si="3"/>
        <v>-16.847877278896224</v>
      </c>
      <c r="W47" s="71">
        <f t="shared" si="3"/>
        <v>-6.092494339695014</v>
      </c>
      <c r="X47" s="71">
        <f t="shared" si="3"/>
        <v>-2.9853343725716504</v>
      </c>
      <c r="Y47" s="71">
        <f t="shared" si="3"/>
        <v>-2.606557586320873</v>
      </c>
      <c r="Z47" s="71">
        <f>Z44/79308.72*100</f>
        <v>-5.359219011478185</v>
      </c>
      <c r="AA47" s="71">
        <f>AA44/79308.72*100</f>
        <v>-17.41881724985601</v>
      </c>
    </row>
    <row r="48" spans="3:26" ht="12.75">
      <c r="C48" s="1"/>
      <c r="D48" s="70"/>
      <c r="E48" s="1"/>
      <c r="F48" s="1"/>
      <c r="G48" s="57"/>
      <c r="H48" s="57"/>
      <c r="I48" s="57"/>
      <c r="J48" s="57"/>
      <c r="K48" s="44"/>
      <c r="L48" s="57"/>
      <c r="M48" s="57"/>
      <c r="N48" s="57"/>
      <c r="O48" s="57"/>
      <c r="Q48" s="57"/>
      <c r="R48" s="57"/>
      <c r="S48" s="57"/>
      <c r="T48" s="57"/>
      <c r="U48" s="57"/>
      <c r="W48" s="57"/>
      <c r="X48" s="57"/>
      <c r="Y48" s="57"/>
      <c r="Z48" s="57"/>
    </row>
    <row r="49" spans="3:26" ht="13.5" thickBot="1">
      <c r="C49" s="1"/>
      <c r="D49" s="70" t="s">
        <v>23</v>
      </c>
      <c r="E49" s="1"/>
      <c r="F49" s="1"/>
      <c r="G49" s="73">
        <v>0</v>
      </c>
      <c r="H49" s="73"/>
      <c r="I49" s="73">
        <v>0</v>
      </c>
      <c r="J49" s="57"/>
      <c r="K49" s="74">
        <v>0</v>
      </c>
      <c r="L49" s="72"/>
      <c r="M49" s="73">
        <v>0</v>
      </c>
      <c r="N49" s="67"/>
      <c r="O49" s="67"/>
      <c r="Q49" s="73">
        <v>0</v>
      </c>
      <c r="R49" s="73"/>
      <c r="S49" s="73"/>
      <c r="T49" s="73">
        <v>0</v>
      </c>
      <c r="U49" s="73">
        <v>0</v>
      </c>
      <c r="W49" s="73">
        <v>0</v>
      </c>
      <c r="X49" s="73">
        <v>0</v>
      </c>
      <c r="Y49" s="73">
        <v>0</v>
      </c>
      <c r="Z49" s="73">
        <v>0</v>
      </c>
    </row>
    <row r="50" spans="3:26" ht="12.75">
      <c r="C50" s="1"/>
      <c r="D50" s="1"/>
      <c r="E50" s="1"/>
      <c r="F50" s="1"/>
      <c r="G50" s="1"/>
      <c r="H50" s="1"/>
      <c r="I50" s="1"/>
      <c r="J50" s="57"/>
      <c r="K50" s="43"/>
      <c r="L50" s="1"/>
      <c r="M50" s="1"/>
      <c r="N50" s="1"/>
      <c r="O50" s="1"/>
      <c r="Q50" s="1"/>
      <c r="T50" s="1"/>
      <c r="U50" s="1"/>
      <c r="Y50" s="1"/>
      <c r="Z50" s="1"/>
    </row>
    <row r="51" spans="3:15" ht="12.75">
      <c r="C51" s="1"/>
      <c r="D51" s="1"/>
      <c r="E51" s="1"/>
      <c r="F51" s="1"/>
      <c r="G51" s="1"/>
      <c r="H51" s="1"/>
      <c r="I51" s="1"/>
      <c r="J51" s="57"/>
      <c r="K51" s="43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43"/>
      <c r="L52" s="1"/>
      <c r="M52" s="1"/>
      <c r="N52" s="1"/>
      <c r="O52" s="1"/>
    </row>
    <row r="53" spans="3:15" ht="12.75">
      <c r="C53" s="107" t="s">
        <v>116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85"/>
      <c r="O53" s="85"/>
    </row>
    <row r="54" spans="3:15" ht="12.75"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85"/>
      <c r="O54" s="85"/>
    </row>
  </sheetData>
  <mergeCells count="6">
    <mergeCell ref="G12:I12"/>
    <mergeCell ref="K12:M12"/>
    <mergeCell ref="C53:M54"/>
    <mergeCell ref="C3:M5"/>
    <mergeCell ref="C7:M7"/>
    <mergeCell ref="C6:M6"/>
  </mergeCells>
  <printOptions/>
  <pageMargins left="0.75" right="0.75" top="0.5" bottom="0" header="0.5" footer="0.5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2" sqref="A12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47.71093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3" ht="12.75">
      <c r="A2" s="1" t="s">
        <v>106</v>
      </c>
      <c r="B2" s="1"/>
      <c r="C2" s="1"/>
    </row>
    <row r="3" spans="1:3" ht="12.75">
      <c r="A3" s="1" t="s">
        <v>47</v>
      </c>
      <c r="B3" s="1"/>
      <c r="C3" s="1"/>
    </row>
    <row r="4" spans="1:3" ht="12.75">
      <c r="A4" s="1" t="s">
        <v>126</v>
      </c>
      <c r="B4" s="1"/>
      <c r="C4" s="1"/>
    </row>
    <row r="5" spans="1:3" ht="12.75">
      <c r="A5" s="1"/>
      <c r="B5" s="1"/>
      <c r="C5" s="1"/>
    </row>
    <row r="6" spans="1:15" ht="12.75">
      <c r="A6" s="1"/>
      <c r="B6" s="1"/>
      <c r="C6" s="1"/>
      <c r="F6" s="36">
        <v>2004</v>
      </c>
      <c r="H6" s="36">
        <v>2003</v>
      </c>
      <c r="N6" s="36">
        <v>2004</v>
      </c>
      <c r="O6" s="36">
        <v>2003</v>
      </c>
    </row>
    <row r="7" spans="4:15" s="1" customFormat="1" ht="12.75">
      <c r="D7" s="36" t="s">
        <v>48</v>
      </c>
      <c r="E7" s="37"/>
      <c r="F7" s="38">
        <v>38168</v>
      </c>
      <c r="G7" s="37"/>
      <c r="H7" s="38">
        <v>37802</v>
      </c>
      <c r="N7" s="38">
        <v>38077</v>
      </c>
      <c r="O7" s="38">
        <v>37986</v>
      </c>
    </row>
    <row r="8" spans="4:15" s="1" customFormat="1" ht="12.75">
      <c r="D8" s="39" t="s">
        <v>49</v>
      </c>
      <c r="E8" s="37"/>
      <c r="F8" s="39" t="s">
        <v>9</v>
      </c>
      <c r="G8" s="37"/>
      <c r="H8" s="39" t="s">
        <v>9</v>
      </c>
      <c r="N8" s="39" t="s">
        <v>9</v>
      </c>
      <c r="O8" s="39" t="s">
        <v>9</v>
      </c>
    </row>
    <row r="10" spans="4:15" ht="12.75">
      <c r="D10" s="3"/>
      <c r="E10" s="8"/>
      <c r="F10" s="3"/>
      <c r="G10" s="8"/>
      <c r="H10" s="3"/>
      <c r="O10" s="3"/>
    </row>
    <row r="11" spans="1:15" ht="12.75">
      <c r="A11" s="1" t="s">
        <v>50</v>
      </c>
      <c r="D11" s="3"/>
      <c r="E11" s="8"/>
      <c r="F11" s="3">
        <v>-6188</v>
      </c>
      <c r="G11" s="8"/>
      <c r="H11" s="3">
        <v>-6394</v>
      </c>
      <c r="N11" s="3">
        <f>-3238-1</f>
        <v>-3239</v>
      </c>
      <c r="O11" s="3">
        <v>-13854</v>
      </c>
    </row>
    <row r="12" spans="4:15" ht="12.75">
      <c r="D12" s="3"/>
      <c r="E12" s="8"/>
      <c r="F12" s="3"/>
      <c r="G12" s="8"/>
      <c r="H12" s="3"/>
      <c r="N12" s="3"/>
      <c r="O12" s="3"/>
    </row>
    <row r="13" spans="1:15" ht="12.75">
      <c r="A13" s="1" t="s">
        <v>51</v>
      </c>
      <c r="D13" s="3"/>
      <c r="E13" s="8"/>
      <c r="F13" s="3"/>
      <c r="G13" s="8"/>
      <c r="H13" s="3"/>
      <c r="N13" s="3"/>
      <c r="O13" s="3"/>
    </row>
    <row r="14" spans="1:15" ht="12.75">
      <c r="A14" t="s">
        <v>52</v>
      </c>
      <c r="D14" s="3"/>
      <c r="E14" s="8"/>
      <c r="F14" s="3">
        <v>2594</v>
      </c>
      <c r="G14" s="8"/>
      <c r="H14" s="3">
        <v>2604</v>
      </c>
      <c r="N14" s="3">
        <v>1299</v>
      </c>
      <c r="O14" s="3">
        <v>5246</v>
      </c>
    </row>
    <row r="15" spans="1:15" ht="12.75">
      <c r="A15" t="s">
        <v>53</v>
      </c>
      <c r="D15" s="3"/>
      <c r="E15" s="8"/>
      <c r="F15" s="3"/>
      <c r="G15" s="8"/>
      <c r="H15" s="3">
        <v>25</v>
      </c>
      <c r="N15" s="3"/>
      <c r="O15" s="3">
        <v>-106</v>
      </c>
    </row>
    <row r="16" spans="1:15" ht="12.75">
      <c r="A16" t="s">
        <v>54</v>
      </c>
      <c r="D16" s="3"/>
      <c r="E16" s="8"/>
      <c r="F16" s="3">
        <v>27</v>
      </c>
      <c r="G16" s="8"/>
      <c r="H16" s="3"/>
      <c r="N16" s="3">
        <v>10</v>
      </c>
      <c r="O16" s="3">
        <v>68</v>
      </c>
    </row>
    <row r="17" spans="1:15" ht="12.75">
      <c r="A17" t="s">
        <v>121</v>
      </c>
      <c r="D17" s="9"/>
      <c r="E17" s="8"/>
      <c r="F17" s="9"/>
      <c r="G17" s="8"/>
      <c r="H17" s="9">
        <v>-1799</v>
      </c>
      <c r="N17" s="9"/>
      <c r="O17" s="9"/>
    </row>
    <row r="18" spans="1:15" ht="12.75">
      <c r="A18" s="1" t="s">
        <v>55</v>
      </c>
      <c r="D18" s="40"/>
      <c r="E18" s="8"/>
      <c r="F18" s="41">
        <f>SUM(F11:F17)</f>
        <v>-3567</v>
      </c>
      <c r="G18" s="42"/>
      <c r="H18" s="41">
        <f>SUM(H11:H17)</f>
        <v>-5564</v>
      </c>
      <c r="N18" s="41">
        <f>SUM(N11:N17)</f>
        <v>-1930</v>
      </c>
      <c r="O18" s="41">
        <f>SUM(O11:O17)</f>
        <v>-8646</v>
      </c>
    </row>
    <row r="19" spans="4:15" ht="12.75">
      <c r="D19" s="3"/>
      <c r="E19" s="8"/>
      <c r="F19" s="3"/>
      <c r="G19" s="8"/>
      <c r="H19" s="3"/>
      <c r="N19" s="3"/>
      <c r="O19" s="3"/>
    </row>
    <row r="20" spans="1:15" ht="12.75">
      <c r="A20" s="1" t="s">
        <v>56</v>
      </c>
      <c r="D20" s="3"/>
      <c r="E20" s="8"/>
      <c r="F20" s="3"/>
      <c r="G20" s="8"/>
      <c r="H20" s="3"/>
      <c r="N20" s="3"/>
      <c r="O20" s="3"/>
    </row>
    <row r="21" spans="2:15" ht="12.75">
      <c r="B21" t="s">
        <v>57</v>
      </c>
      <c r="D21" s="3"/>
      <c r="E21" s="8"/>
      <c r="F21" s="3">
        <v>675</v>
      </c>
      <c r="G21" s="8"/>
      <c r="H21" s="3">
        <v>8722</v>
      </c>
      <c r="N21" s="3">
        <v>932</v>
      </c>
      <c r="O21" s="3">
        <v>12471</v>
      </c>
    </row>
    <row r="22" spans="2:15" ht="12.75">
      <c r="B22" t="s">
        <v>58</v>
      </c>
      <c r="D22" s="3"/>
      <c r="E22" s="8"/>
      <c r="F22" s="9">
        <v>7576</v>
      </c>
      <c r="G22" s="8"/>
      <c r="H22" s="9">
        <v>-1035</v>
      </c>
      <c r="N22" s="9">
        <v>295</v>
      </c>
      <c r="O22" s="9">
        <v>590</v>
      </c>
    </row>
    <row r="23" spans="4:15" ht="12.75">
      <c r="D23" s="3"/>
      <c r="E23" s="8"/>
      <c r="F23" s="3">
        <f>SUM(F18:F22)</f>
        <v>4684</v>
      </c>
      <c r="G23" s="3"/>
      <c r="H23" s="3">
        <f>SUM(H18:H22)</f>
        <v>2123</v>
      </c>
      <c r="N23" s="3">
        <f>SUM(N18:N22)</f>
        <v>-703</v>
      </c>
      <c r="O23" s="3">
        <f>SUM(O18:O22)</f>
        <v>4415</v>
      </c>
    </row>
    <row r="24" spans="2:15" ht="12.75">
      <c r="B24" t="s">
        <v>100</v>
      </c>
      <c r="D24" s="3"/>
      <c r="E24" s="8"/>
      <c r="F24" s="3">
        <v>-15</v>
      </c>
      <c r="G24" s="8"/>
      <c r="H24" s="3"/>
      <c r="N24" s="3">
        <v>-10</v>
      </c>
      <c r="O24" s="3">
        <v>-1</v>
      </c>
    </row>
    <row r="25" spans="4:15" ht="12.75">
      <c r="D25" s="3"/>
      <c r="E25" s="8"/>
      <c r="F25" s="3"/>
      <c r="G25" s="8"/>
      <c r="H25" s="3"/>
      <c r="N25" s="3"/>
      <c r="O25" s="3"/>
    </row>
    <row r="26" spans="1:15" ht="12.75">
      <c r="A26" s="1" t="s">
        <v>59</v>
      </c>
      <c r="B26" s="1"/>
      <c r="C26" s="1"/>
      <c r="D26" s="40"/>
      <c r="E26" s="8"/>
      <c r="F26" s="41">
        <f>+F23+F24</f>
        <v>4669</v>
      </c>
      <c r="G26" s="42"/>
      <c r="H26" s="41">
        <f>+H23+H24</f>
        <v>2123</v>
      </c>
      <c r="N26" s="41">
        <f>+N23+N24</f>
        <v>-713</v>
      </c>
      <c r="O26" s="41">
        <f>+O23+O24</f>
        <v>4414</v>
      </c>
    </row>
    <row r="27" spans="4:15" ht="12.75">
      <c r="D27" s="3"/>
      <c r="E27" s="8"/>
      <c r="F27" s="3"/>
      <c r="G27" s="8"/>
      <c r="H27" s="3"/>
      <c r="N27" s="3"/>
      <c r="O27" s="3"/>
    </row>
    <row r="28" spans="4:15" ht="12.75">
      <c r="D28" s="3"/>
      <c r="E28" s="8"/>
      <c r="F28" s="3"/>
      <c r="G28" s="8"/>
      <c r="H28" s="3"/>
      <c r="N28" s="3"/>
      <c r="O28" s="3"/>
    </row>
    <row r="29" spans="1:15" ht="12.75">
      <c r="A29" s="1" t="s">
        <v>60</v>
      </c>
      <c r="D29" s="3"/>
      <c r="E29" s="8"/>
      <c r="F29" s="3"/>
      <c r="G29" s="8"/>
      <c r="H29" s="3"/>
      <c r="N29" s="3"/>
      <c r="O29" s="3"/>
    </row>
    <row r="30" spans="2:15" ht="12.75">
      <c r="B30" t="s">
        <v>61</v>
      </c>
      <c r="D30" s="3"/>
      <c r="E30" s="8"/>
      <c r="F30" s="8">
        <v>-6163</v>
      </c>
      <c r="G30" s="8"/>
      <c r="H30" s="8">
        <v>-223</v>
      </c>
      <c r="N30" s="3">
        <v>-338</v>
      </c>
      <c r="O30" s="3">
        <v>-1128.3</v>
      </c>
    </row>
    <row r="31" spans="2:15" ht="12.75">
      <c r="B31" t="s">
        <v>62</v>
      </c>
      <c r="D31" s="3"/>
      <c r="E31" s="8"/>
      <c r="F31" s="3">
        <v>0</v>
      </c>
      <c r="G31" s="8"/>
      <c r="H31" s="3">
        <v>1</v>
      </c>
      <c r="N31" s="3">
        <v>0</v>
      </c>
      <c r="O31" s="3">
        <v>330</v>
      </c>
    </row>
    <row r="32" spans="2:15" ht="12.75">
      <c r="B32" t="s">
        <v>63</v>
      </c>
      <c r="D32" s="3"/>
      <c r="E32" s="8"/>
      <c r="F32" s="3">
        <v>164</v>
      </c>
      <c r="G32" s="8"/>
      <c r="H32" s="3">
        <v>400</v>
      </c>
      <c r="N32" s="3">
        <v>-12</v>
      </c>
      <c r="O32" s="3">
        <v>-392</v>
      </c>
    </row>
    <row r="33" spans="4:15" ht="12.75">
      <c r="D33" s="9"/>
      <c r="E33" s="8"/>
      <c r="F33" s="9"/>
      <c r="G33" s="8"/>
      <c r="H33" s="9"/>
      <c r="N33" s="9"/>
      <c r="O33" s="9"/>
    </row>
    <row r="34" spans="4:15" ht="12.75">
      <c r="D34" s="40"/>
      <c r="E34" s="8"/>
      <c r="F34" s="40">
        <f>SUM(F30:F33)</f>
        <v>-5999</v>
      </c>
      <c r="G34" s="8"/>
      <c r="H34" s="40">
        <f>SUM(H30:H33)</f>
        <v>178</v>
      </c>
      <c r="N34" s="40">
        <f>SUM(N30:N33)</f>
        <v>-350</v>
      </c>
      <c r="O34" s="40">
        <f>SUM(O30:O33)</f>
        <v>-1190.3</v>
      </c>
    </row>
    <row r="35" spans="4:15" ht="12.75">
      <c r="D35" s="3"/>
      <c r="E35" s="8"/>
      <c r="F35" s="3"/>
      <c r="G35" s="8"/>
      <c r="H35" s="3"/>
      <c r="N35" s="3"/>
      <c r="O35" s="3"/>
    </row>
    <row r="36" spans="1:15" s="1" customFormat="1" ht="12.75">
      <c r="A36" s="1" t="s">
        <v>64</v>
      </c>
      <c r="D36" s="43"/>
      <c r="E36" s="44"/>
      <c r="F36" s="43"/>
      <c r="G36" s="44"/>
      <c r="H36" s="43"/>
      <c r="N36" s="43"/>
      <c r="O36" s="43"/>
    </row>
    <row r="37" spans="2:15" ht="12.75" hidden="1">
      <c r="B37" t="s">
        <v>65</v>
      </c>
      <c r="D37" s="3"/>
      <c r="E37" s="8"/>
      <c r="F37" s="3">
        <v>0</v>
      </c>
      <c r="G37" s="8"/>
      <c r="H37" s="3">
        <v>0</v>
      </c>
      <c r="N37" s="3">
        <v>0</v>
      </c>
      <c r="O37" s="3">
        <v>0</v>
      </c>
    </row>
    <row r="38" spans="2:15" ht="12.75" hidden="1">
      <c r="B38" t="s">
        <v>0</v>
      </c>
      <c r="D38" s="3"/>
      <c r="E38" s="8"/>
      <c r="F38" s="3">
        <v>0</v>
      </c>
      <c r="G38" s="8"/>
      <c r="H38" s="3">
        <v>0</v>
      </c>
      <c r="N38" s="3">
        <v>0</v>
      </c>
      <c r="O38" s="3">
        <v>0</v>
      </c>
    </row>
    <row r="39" spans="2:15" ht="12.75">
      <c r="B39" t="s">
        <v>66</v>
      </c>
      <c r="D39" s="3"/>
      <c r="E39" s="8"/>
      <c r="F39" s="3">
        <v>1580</v>
      </c>
      <c r="G39" s="8"/>
      <c r="H39" s="3">
        <v>4194</v>
      </c>
      <c r="N39" s="3">
        <v>1188</v>
      </c>
      <c r="O39" s="3">
        <f>-1996-1</f>
        <v>-1997</v>
      </c>
    </row>
    <row r="40" spans="2:15" ht="12.75">
      <c r="B40" t="s">
        <v>13</v>
      </c>
      <c r="D40" s="3"/>
      <c r="E40" s="8"/>
      <c r="F40" s="3">
        <v>-239</v>
      </c>
      <c r="G40" s="8"/>
      <c r="H40" s="3">
        <v>-5115</v>
      </c>
      <c r="N40" s="3">
        <v>-67</v>
      </c>
      <c r="O40" s="3">
        <v>-2002</v>
      </c>
    </row>
    <row r="41" spans="4:15" ht="12.75">
      <c r="D41" s="40"/>
      <c r="E41" s="8"/>
      <c r="F41" s="40">
        <f>SUM(F37:F40)</f>
        <v>1341</v>
      </c>
      <c r="G41" s="8"/>
      <c r="H41" s="40">
        <f>SUM(H37:H40)</f>
        <v>-921</v>
      </c>
      <c r="N41" s="40">
        <f>SUM(N37:N40)</f>
        <v>1121</v>
      </c>
      <c r="O41" s="40">
        <f>SUM(O37:O40)</f>
        <v>-3999</v>
      </c>
    </row>
    <row r="42" spans="4:15" ht="12.75">
      <c r="D42" s="3"/>
      <c r="E42" s="8"/>
      <c r="F42" s="3"/>
      <c r="G42" s="8"/>
      <c r="H42" s="3"/>
      <c r="N42" s="3"/>
      <c r="O42" s="3"/>
    </row>
    <row r="43" spans="1:15" ht="12.75">
      <c r="A43" s="1" t="s">
        <v>67</v>
      </c>
      <c r="D43" s="8"/>
      <c r="E43" s="8"/>
      <c r="F43" s="8">
        <f>F41+F34+F26</f>
        <v>11</v>
      </c>
      <c r="G43" s="8"/>
      <c r="H43" s="8">
        <f>H41+H34+H26</f>
        <v>1380</v>
      </c>
      <c r="N43" s="8">
        <f>N41+N34+N26</f>
        <v>58</v>
      </c>
      <c r="O43" s="8">
        <f>O41+O34+O26</f>
        <v>-775.3000000000002</v>
      </c>
    </row>
    <row r="44" spans="4:15" ht="12.75">
      <c r="D44" s="3"/>
      <c r="E44" s="8"/>
      <c r="F44" s="3"/>
      <c r="G44" s="8"/>
      <c r="H44" s="3"/>
      <c r="N44" s="3"/>
      <c r="O44" s="3"/>
    </row>
    <row r="45" spans="1:15" ht="12.75">
      <c r="A45" s="1" t="s">
        <v>68</v>
      </c>
      <c r="D45" s="3"/>
      <c r="E45" s="8"/>
      <c r="F45" s="3">
        <v>168</v>
      </c>
      <c r="G45" s="8"/>
      <c r="H45" s="3">
        <v>943</v>
      </c>
      <c r="N45" s="3">
        <v>168</v>
      </c>
      <c r="O45" s="3">
        <v>943</v>
      </c>
    </row>
    <row r="46" spans="4:15" ht="12.75">
      <c r="D46" s="3"/>
      <c r="E46" s="8"/>
      <c r="F46" s="3"/>
      <c r="G46" s="8"/>
      <c r="H46" s="3"/>
      <c r="N46" s="3"/>
      <c r="O46" s="3"/>
    </row>
    <row r="47" spans="1:15" ht="13.5" thickBot="1">
      <c r="A47" s="1" t="s">
        <v>129</v>
      </c>
      <c r="D47" s="27"/>
      <c r="E47" s="8"/>
      <c r="F47" s="27">
        <f>F43+F45</f>
        <v>179</v>
      </c>
      <c r="G47" s="8"/>
      <c r="H47" s="27">
        <f>H43+H45</f>
        <v>2323</v>
      </c>
      <c r="N47" s="27">
        <f>N43+N45</f>
        <v>226</v>
      </c>
      <c r="O47" s="27">
        <f>O43+O45</f>
        <v>167.69999999999982</v>
      </c>
    </row>
    <row r="48" spans="4:14" ht="13.5" thickTop="1">
      <c r="D48" s="3"/>
      <c r="E48" s="8"/>
      <c r="F48" s="3"/>
      <c r="G48" s="8"/>
      <c r="H48" s="3"/>
      <c r="N48" s="3"/>
    </row>
    <row r="49" spans="4:14" ht="12.75">
      <c r="D49" s="3"/>
      <c r="E49" s="8"/>
      <c r="F49" s="3"/>
      <c r="G49" s="8"/>
      <c r="H49" s="3"/>
      <c r="L49" s="3"/>
      <c r="N49" s="3"/>
    </row>
    <row r="50" spans="4:12" ht="12.75">
      <c r="D50" s="3"/>
      <c r="E50" s="8"/>
      <c r="F50" s="3"/>
      <c r="G50" s="8"/>
      <c r="H50" s="3"/>
      <c r="L50" s="3"/>
    </row>
    <row r="51" spans="1:8" ht="12.75">
      <c r="A51" s="107" t="s">
        <v>118</v>
      </c>
      <c r="B51" s="107"/>
      <c r="C51" s="107"/>
      <c r="D51" s="107"/>
      <c r="E51" s="107"/>
      <c r="F51" s="107"/>
      <c r="G51" s="107"/>
      <c r="H51" s="107"/>
    </row>
    <row r="52" spans="1:8" ht="12.75">
      <c r="A52" s="107"/>
      <c r="B52" s="107"/>
      <c r="C52" s="107"/>
      <c r="D52" s="107"/>
      <c r="E52" s="107"/>
      <c r="F52" s="107"/>
      <c r="G52" s="107"/>
      <c r="H52" s="107"/>
    </row>
    <row r="53" spans="4:8" ht="12.75">
      <c r="D53" s="3"/>
      <c r="E53" s="8"/>
      <c r="F53" s="3"/>
      <c r="G53" s="8"/>
      <c r="H53" s="3"/>
    </row>
    <row r="54" spans="4:11" ht="12.75">
      <c r="D54" s="3"/>
      <c r="E54" s="8"/>
      <c r="F54" s="3"/>
      <c r="G54" s="8"/>
      <c r="H54" s="3"/>
      <c r="I54" s="35"/>
      <c r="J54" s="35"/>
      <c r="K54" s="35"/>
    </row>
    <row r="55" spans="4:8" ht="12.75">
      <c r="D55" s="3"/>
      <c r="E55" s="8"/>
      <c r="F55" s="3"/>
      <c r="G55" s="8"/>
      <c r="H55" s="3"/>
    </row>
    <row r="56" spans="6:7" ht="12.75">
      <c r="F56" s="45" t="s">
        <v>3</v>
      </c>
      <c r="G56" s="46"/>
    </row>
  </sheetData>
  <mergeCells count="1">
    <mergeCell ref="A51:H52"/>
  </mergeCells>
  <printOptions/>
  <pageMargins left="1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9"/>
  <sheetViews>
    <sheetView workbookViewId="0" topLeftCell="A1">
      <selection activeCell="B2" sqref="B2:I35"/>
    </sheetView>
  </sheetViews>
  <sheetFormatPr defaultColWidth="9.140625" defaultRowHeight="12.75"/>
  <cols>
    <col min="1" max="1" width="4.28125" style="0" customWidth="1"/>
    <col min="3" max="3" width="20.0039062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32" customWidth="1"/>
    <col min="8" max="8" width="12.57421875" style="3" customWidth="1"/>
    <col min="9" max="9" width="13.28125" style="3" customWidth="1"/>
  </cols>
  <sheetData>
    <row r="2" ht="15">
      <c r="B2" s="31" t="s">
        <v>106</v>
      </c>
    </row>
    <row r="4" ht="15">
      <c r="B4" s="31" t="s">
        <v>24</v>
      </c>
    </row>
    <row r="5" ht="15">
      <c r="B5" s="31" t="s">
        <v>126</v>
      </c>
    </row>
    <row r="6" ht="12.75">
      <c r="N6" s="3"/>
    </row>
    <row r="7" ht="12.75">
      <c r="N7" s="3">
        <v>38077</v>
      </c>
    </row>
    <row r="8" spans="4:14" ht="12.75">
      <c r="D8" s="81" t="s">
        <v>25</v>
      </c>
      <c r="E8" s="81" t="s">
        <v>26</v>
      </c>
      <c r="F8" s="81" t="s">
        <v>27</v>
      </c>
      <c r="G8" s="81" t="s">
        <v>28</v>
      </c>
      <c r="H8" s="81" t="s">
        <v>29</v>
      </c>
      <c r="I8" s="81" t="s">
        <v>30</v>
      </c>
      <c r="N8" s="81" t="s">
        <v>27</v>
      </c>
    </row>
    <row r="9" spans="4:9" ht="12.75">
      <c r="D9" s="81" t="s">
        <v>31</v>
      </c>
      <c r="E9" s="81" t="s">
        <v>32</v>
      </c>
      <c r="F9" s="81" t="s">
        <v>32</v>
      </c>
      <c r="G9" s="81" t="s">
        <v>33</v>
      </c>
      <c r="H9" s="81" t="s">
        <v>34</v>
      </c>
      <c r="I9" s="81"/>
    </row>
    <row r="10" spans="4:9" ht="12.75">
      <c r="D10" s="82" t="s">
        <v>9</v>
      </c>
      <c r="E10" s="82" t="s">
        <v>9</v>
      </c>
      <c r="F10" s="82" t="s">
        <v>9</v>
      </c>
      <c r="G10" s="82" t="s">
        <v>9</v>
      </c>
      <c r="H10" s="82" t="s">
        <v>9</v>
      </c>
      <c r="I10" s="82" t="s">
        <v>9</v>
      </c>
    </row>
    <row r="11" ht="12.75">
      <c r="N11" s="3"/>
    </row>
    <row r="12" spans="2:14" ht="12.75">
      <c r="B12" t="s">
        <v>119</v>
      </c>
      <c r="D12" s="3">
        <v>82330.811</v>
      </c>
      <c r="E12" s="3">
        <v>1726</v>
      </c>
      <c r="F12" s="3">
        <f>+F30</f>
        <v>-743</v>
      </c>
      <c r="G12" s="3">
        <f>+G30</f>
        <v>6977.926</v>
      </c>
      <c r="H12" s="3">
        <f>+H30</f>
        <v>-72315.489</v>
      </c>
      <c r="I12" s="3">
        <f>+I30</f>
        <v>17976.448000000008</v>
      </c>
      <c r="N12" s="3">
        <f>+N30</f>
        <v>-743.4</v>
      </c>
    </row>
    <row r="13" ht="12.75">
      <c r="N13" s="3"/>
    </row>
    <row r="14" spans="2:14" ht="12.75">
      <c r="B14" t="s">
        <v>35</v>
      </c>
      <c r="D14" s="3">
        <v>0</v>
      </c>
      <c r="E14" s="3">
        <v>0</v>
      </c>
      <c r="I14" s="3">
        <f>SUM(D14:H14)</f>
        <v>0</v>
      </c>
      <c r="N14" s="3">
        <v>0</v>
      </c>
    </row>
    <row r="15" spans="2:14" ht="12.75">
      <c r="B15" t="s">
        <v>134</v>
      </c>
      <c r="N15" s="3"/>
    </row>
    <row r="16" spans="2:14" ht="12.75">
      <c r="B16" t="s">
        <v>36</v>
      </c>
      <c r="D16" s="3">
        <v>0</v>
      </c>
      <c r="E16" s="3">
        <v>0</v>
      </c>
      <c r="F16" s="3">
        <v>163.2</v>
      </c>
      <c r="G16" s="32">
        <v>0</v>
      </c>
      <c r="H16" s="3">
        <v>0</v>
      </c>
      <c r="I16" s="3">
        <f>SUM(D16:H16)</f>
        <v>163.2</v>
      </c>
      <c r="N16" s="3">
        <v>-12</v>
      </c>
    </row>
    <row r="17" spans="2:14" ht="12.75">
      <c r="B17" t="s">
        <v>127</v>
      </c>
      <c r="D17" s="3">
        <v>0</v>
      </c>
      <c r="E17" s="3">
        <v>0</v>
      </c>
      <c r="F17" s="3">
        <v>0</v>
      </c>
      <c r="G17" s="32">
        <v>0</v>
      </c>
      <c r="H17" s="3">
        <v>-6197</v>
      </c>
      <c r="I17" s="3">
        <f>SUM(D17:H17)</f>
        <v>-6197</v>
      </c>
      <c r="N17" s="3">
        <v>0</v>
      </c>
    </row>
    <row r="18" spans="4:14" ht="12.75">
      <c r="D18" s="9"/>
      <c r="E18" s="9"/>
      <c r="F18" s="9"/>
      <c r="G18" s="33"/>
      <c r="H18" s="9"/>
      <c r="I18" s="9"/>
      <c r="N18" s="9"/>
    </row>
    <row r="19" spans="2:14" ht="13.5" thickBot="1">
      <c r="B19" t="s">
        <v>128</v>
      </c>
      <c r="D19" s="27">
        <f aca="true" t="shared" si="0" ref="D19:I19">SUM(D12:D17)</f>
        <v>82330.811</v>
      </c>
      <c r="E19" s="27">
        <f t="shared" si="0"/>
        <v>1726</v>
      </c>
      <c r="F19" s="27">
        <f t="shared" si="0"/>
        <v>-579.8</v>
      </c>
      <c r="G19" s="27">
        <f t="shared" si="0"/>
        <v>6977.926</v>
      </c>
      <c r="H19" s="27">
        <f t="shared" si="0"/>
        <v>-78512.489</v>
      </c>
      <c r="I19" s="27">
        <f t="shared" si="0"/>
        <v>11942.648000000008</v>
      </c>
      <c r="N19" s="27">
        <f>SUM(N12:N17)</f>
        <v>-755.4</v>
      </c>
    </row>
    <row r="20" ht="13.5" thickTop="1">
      <c r="N20" s="3"/>
    </row>
    <row r="21" ht="12.75">
      <c r="N21" s="3"/>
    </row>
    <row r="22" ht="12.75">
      <c r="N22" s="3"/>
    </row>
    <row r="23" spans="2:14" ht="12.75">
      <c r="B23" t="s">
        <v>101</v>
      </c>
      <c r="D23" s="3">
        <v>82330.811</v>
      </c>
      <c r="E23" s="3">
        <v>1726</v>
      </c>
      <c r="F23" s="3">
        <v>-351</v>
      </c>
      <c r="G23" s="32">
        <v>6977.926</v>
      </c>
      <c r="H23" s="3">
        <v>-58444.489</v>
      </c>
      <c r="I23" s="3">
        <f>SUM(D23:H23)+0.2</f>
        <v>32239.448000000008</v>
      </c>
      <c r="N23" s="3">
        <v>-351</v>
      </c>
    </row>
    <row r="24" ht="12.75">
      <c r="N24" s="3"/>
    </row>
    <row r="25" spans="2:14" ht="12.75">
      <c r="B25" t="s">
        <v>35</v>
      </c>
      <c r="D25" s="3">
        <v>0</v>
      </c>
      <c r="E25" s="3">
        <v>0</v>
      </c>
      <c r="F25" s="3">
        <v>0</v>
      </c>
      <c r="H25" s="3">
        <v>0</v>
      </c>
      <c r="I25" s="3">
        <f>SUM(D25:H25)</f>
        <v>0</v>
      </c>
      <c r="N25" s="3">
        <v>0</v>
      </c>
    </row>
    <row r="26" spans="2:14" ht="12.75">
      <c r="B26" t="s">
        <v>122</v>
      </c>
      <c r="N26" s="3"/>
    </row>
    <row r="27" spans="2:14" ht="12.75">
      <c r="B27" t="s">
        <v>36</v>
      </c>
      <c r="D27" s="3">
        <v>0</v>
      </c>
      <c r="E27" s="3">
        <v>0</v>
      </c>
      <c r="F27" s="3">
        <v>-392</v>
      </c>
      <c r="G27" s="32">
        <v>0</v>
      </c>
      <c r="H27" s="3">
        <v>0</v>
      </c>
      <c r="I27" s="3">
        <f>SUM(D27:H27)</f>
        <v>-392</v>
      </c>
      <c r="N27" s="3">
        <v>-392.4</v>
      </c>
    </row>
    <row r="28" spans="2:14" ht="12.75">
      <c r="B28" t="s">
        <v>102</v>
      </c>
      <c r="D28" s="3">
        <v>0</v>
      </c>
      <c r="E28" s="3">
        <v>0</v>
      </c>
      <c r="F28" s="3">
        <v>0</v>
      </c>
      <c r="G28" s="32">
        <v>0</v>
      </c>
      <c r="H28" s="3">
        <f>-13871</f>
        <v>-13871</v>
      </c>
      <c r="I28" s="3">
        <f>SUM(D28:H28)</f>
        <v>-13871</v>
      </c>
      <c r="N28" s="3">
        <v>0</v>
      </c>
    </row>
    <row r="29" spans="4:14" ht="12.75">
      <c r="D29" s="9"/>
      <c r="E29" s="9"/>
      <c r="F29" s="9"/>
      <c r="G29" s="33"/>
      <c r="H29" s="9"/>
      <c r="I29" s="9"/>
      <c r="N29" s="9"/>
    </row>
    <row r="30" spans="2:14" ht="13.5" thickBot="1">
      <c r="B30" t="s">
        <v>113</v>
      </c>
      <c r="D30" s="27">
        <f aca="true" t="shared" si="1" ref="D30:I30">SUM(D23:D28)</f>
        <v>82330.811</v>
      </c>
      <c r="E30" s="27">
        <f t="shared" si="1"/>
        <v>1726</v>
      </c>
      <c r="F30" s="27">
        <f t="shared" si="1"/>
        <v>-743</v>
      </c>
      <c r="G30" s="27">
        <f t="shared" si="1"/>
        <v>6977.926</v>
      </c>
      <c r="H30" s="27">
        <f t="shared" si="1"/>
        <v>-72315.489</v>
      </c>
      <c r="I30" s="27">
        <f t="shared" si="1"/>
        <v>17976.448000000008</v>
      </c>
      <c r="N30" s="27">
        <f>SUM(N23:N28)</f>
        <v>-743.4</v>
      </c>
    </row>
    <row r="31" ht="13.5" thickTop="1">
      <c r="N31" s="3"/>
    </row>
    <row r="32" ht="12.75">
      <c r="N32" s="3"/>
    </row>
    <row r="33" spans="2:14" ht="12.75">
      <c r="B33" s="107" t="s">
        <v>120</v>
      </c>
      <c r="C33" s="107"/>
      <c r="D33" s="107"/>
      <c r="E33" s="107"/>
      <c r="F33" s="107"/>
      <c r="G33" s="107"/>
      <c r="H33" s="107"/>
      <c r="I33" s="107"/>
      <c r="N33" s="92"/>
    </row>
    <row r="34" spans="2:14" ht="12.75">
      <c r="B34" s="107"/>
      <c r="C34" s="107"/>
      <c r="D34" s="107"/>
      <c r="E34" s="107"/>
      <c r="F34" s="107"/>
      <c r="G34" s="107"/>
      <c r="H34" s="107"/>
      <c r="I34" s="107"/>
      <c r="N34" s="92"/>
    </row>
    <row r="35" ht="12.75">
      <c r="N35" s="3"/>
    </row>
    <row r="36" ht="12.75">
      <c r="N36" s="3"/>
    </row>
    <row r="37" ht="12.75" hidden="1">
      <c r="N37" s="3"/>
    </row>
    <row r="38" ht="12.75" hidden="1">
      <c r="N38" s="3"/>
    </row>
    <row r="39" ht="12.75">
      <c r="N39" s="3"/>
    </row>
    <row r="40" ht="12.75">
      <c r="N40" s="3"/>
    </row>
    <row r="41" ht="12.75">
      <c r="N41" s="3"/>
    </row>
    <row r="42" ht="12.75">
      <c r="N42" s="3"/>
    </row>
    <row r="43" ht="12.75"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</sheetData>
  <mergeCells count="1">
    <mergeCell ref="B33:I34"/>
  </mergeCells>
  <printOptions/>
  <pageMargins left="0.75" right="0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E10" sqref="E10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3" ht="12.75">
      <c r="B3" s="1" t="s">
        <v>106</v>
      </c>
    </row>
    <row r="5" ht="12.75">
      <c r="B5" s="1" t="s">
        <v>37</v>
      </c>
    </row>
    <row r="6" ht="12.75">
      <c r="B6" s="1" t="s">
        <v>38</v>
      </c>
    </row>
    <row r="7" ht="12.75">
      <c r="B7" s="1" t="s">
        <v>123</v>
      </c>
    </row>
    <row r="9" spans="7:9" ht="12.75">
      <c r="G9" s="11">
        <v>2004</v>
      </c>
      <c r="I9" s="11">
        <v>2003</v>
      </c>
    </row>
    <row r="10" spans="7:9" ht="12.75">
      <c r="G10" s="34">
        <v>37802</v>
      </c>
      <c r="I10" s="34">
        <v>37802</v>
      </c>
    </row>
    <row r="11" spans="7:9" ht="12.75">
      <c r="G11" s="11" t="s">
        <v>39</v>
      </c>
      <c r="I11" s="11" t="s">
        <v>39</v>
      </c>
    </row>
    <row r="12" spans="7:9" ht="12.75">
      <c r="G12" s="11" t="s">
        <v>9</v>
      </c>
      <c r="I12" s="11" t="s">
        <v>9</v>
      </c>
    </row>
    <row r="14" spans="2:9" ht="12.75">
      <c r="B14" t="s">
        <v>40</v>
      </c>
      <c r="G14" s="3">
        <v>0</v>
      </c>
      <c r="H14" s="3"/>
      <c r="I14" s="3">
        <v>0</v>
      </c>
    </row>
    <row r="15" spans="7:9" ht="12.75">
      <c r="G15" s="3"/>
      <c r="H15" s="3"/>
      <c r="I15" s="3"/>
    </row>
    <row r="16" spans="2:9" ht="12.75">
      <c r="B16" t="s">
        <v>41</v>
      </c>
      <c r="G16" s="3">
        <v>0</v>
      </c>
      <c r="H16" s="3"/>
      <c r="I16" s="3">
        <v>0</v>
      </c>
    </row>
    <row r="17" spans="7:9" ht="12.75">
      <c r="G17" s="3"/>
      <c r="H17" s="3"/>
      <c r="I17" s="3"/>
    </row>
    <row r="18" spans="2:9" ht="12.75">
      <c r="B18" t="s">
        <v>42</v>
      </c>
      <c r="G18" s="3"/>
      <c r="H18" s="3"/>
      <c r="I18" s="3"/>
    </row>
    <row r="19" spans="2:9" ht="12.75">
      <c r="B19" t="s">
        <v>43</v>
      </c>
      <c r="G19" s="9">
        <v>163</v>
      </c>
      <c r="H19" s="3"/>
      <c r="I19" s="9">
        <v>400</v>
      </c>
    </row>
    <row r="20" spans="7:9" ht="12.75">
      <c r="G20" s="3"/>
      <c r="H20" s="3"/>
      <c r="I20" s="3"/>
    </row>
    <row r="21" spans="2:9" ht="12.75">
      <c r="B21" t="s">
        <v>44</v>
      </c>
      <c r="G21" s="3"/>
      <c r="H21" s="3"/>
      <c r="I21" s="3"/>
    </row>
    <row r="22" spans="2:9" ht="12.75">
      <c r="B22" t="s">
        <v>45</v>
      </c>
      <c r="G22" s="3">
        <v>163</v>
      </c>
      <c r="H22" s="3"/>
      <c r="I22" s="3">
        <v>400</v>
      </c>
    </row>
    <row r="23" spans="7:9" ht="12.75">
      <c r="G23" s="3"/>
      <c r="H23" s="3"/>
      <c r="I23" s="3"/>
    </row>
    <row r="24" spans="2:9" ht="12.75">
      <c r="B24" t="s">
        <v>124</v>
      </c>
      <c r="G24" s="9">
        <v>-6197</v>
      </c>
      <c r="H24" s="3"/>
      <c r="I24" s="9">
        <v>-6397</v>
      </c>
    </row>
    <row r="25" spans="7:9" ht="12.75">
      <c r="G25" s="3"/>
      <c r="H25" s="3"/>
      <c r="I25" s="3"/>
    </row>
    <row r="26" ht="12.75">
      <c r="B26" t="s">
        <v>46</v>
      </c>
    </row>
    <row r="27" spans="2:9" ht="12.75">
      <c r="B27" t="s">
        <v>125</v>
      </c>
      <c r="G27" s="35">
        <v>0</v>
      </c>
      <c r="H27" s="35"/>
      <c r="I27" s="35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Win98</cp:lastModifiedBy>
  <cp:lastPrinted>2004-08-20T03:39:14Z</cp:lastPrinted>
  <dcterms:created xsi:type="dcterms:W3CDTF">2001-11-01T09:32:27Z</dcterms:created>
  <dcterms:modified xsi:type="dcterms:W3CDTF">2004-08-20T09:48:51Z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1337263840</vt:i4>
  </property>
  <property fmtid="{D5CDD505-2E9C-101B-9397-08002B2CF9AE}" pid="3" name="_EmailSubject">
    <vt:lpwstr>Re: Final Interim-Financial 2Qtr Reports</vt:lpwstr>
  </property>
  <property fmtid="{D5CDD505-2E9C-101B-9397-08002B2CF9AE}" pid="4" name="_AuthorEmail">
    <vt:lpwstr>cheah@latexx.com.my</vt:lpwstr>
  </property>
  <property fmtid="{D5CDD505-2E9C-101B-9397-08002B2CF9AE}" pid="5" name="_AuthorEmailDisplayName">
    <vt:lpwstr>cheah</vt:lpwstr>
  </property>
  <property fmtid="{D5CDD505-2E9C-101B-9397-08002B2CF9AE}" pid="6" name="_PreviousAdHocReviewCycleID">
    <vt:i4>-657573770</vt:i4>
  </property>
</Properties>
</file>